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.Galt/Downloads/"/>
    </mc:Choice>
  </mc:AlternateContent>
  <xr:revisionPtr revIDLastSave="0" documentId="8_{50E86E02-C5D4-054A-A943-2FD1DD79CC2D}" xr6:coauthVersionLast="47" xr6:coauthVersionMax="47" xr10:uidLastSave="{00000000-0000-0000-0000-000000000000}"/>
  <bookViews>
    <workbookView xWindow="-520" yWindow="8460" windowWidth="28800" windowHeight="15500" tabRatio="795" activeTab="1" xr2:uid="{00000000-000D-0000-FFFF-FFFF00000000}"/>
  </bookViews>
  <sheets>
    <sheet name="Models and ref" sheetId="4" state="hidden" r:id="rId1"/>
    <sheet name="Instructions" sheetId="22" r:id="rId2"/>
    <sheet name="1. ER potentials" sheetId="17" r:id="rId3"/>
    <sheet name="2. Implementation rate" sheetId="11" r:id="rId4"/>
    <sheet name="3. Cost-benefit analysis" sheetId="19" r:id="rId5"/>
    <sheet name="A. List" sheetId="20" state="hidden" r:id="rId6"/>
    <sheet name="B. ER outputs" sheetId="12" state="hidden" r:id="rId7"/>
  </sheets>
  <externalReferences>
    <externalReference r:id="rId8"/>
  </externalReferences>
  <definedNames>
    <definedName name="_c">'[1]sampling frame'!$D$20</definedName>
    <definedName name="_N">'[1]sampling frame'!$D$18</definedName>
    <definedName name="_P">'[1]sampling frame'!$D$19</definedName>
    <definedName name="_pr">'[1]sampling frame'!$D$21</definedName>
    <definedName name="solver_adj" localSheetId="4" hidden="1">'3. Cost-benefit analysis'!$D$13:$D$15</definedName>
    <definedName name="solver_cvg" localSheetId="4" hidden="1">0.0001</definedName>
    <definedName name="solver_drv" localSheetId="4" hidden="1">2</definedName>
    <definedName name="solver_eng" localSheetId="4" hidden="1">1</definedName>
    <definedName name="solver_est" localSheetId="4" hidden="1">1</definedName>
    <definedName name="solver_itr" localSheetId="4" hidden="1">2147483647</definedName>
    <definedName name="solver_lhs1" localSheetId="4" hidden="1">'3. Cost-benefit analysis'!$D$15</definedName>
    <definedName name="solver_lhs2" localSheetId="4" hidden="1">'3. Cost-benefit analysis'!$D$14</definedName>
    <definedName name="solver_lhs3" localSheetId="4" hidden="1">'3. Cost-benefit analysis'!$D$14</definedName>
    <definedName name="solver_lhs4" localSheetId="4" hidden="1">'3. Cost-benefit analysis'!$D$14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1</definedName>
    <definedName name="solver_nod" localSheetId="4" hidden="1">2147483647</definedName>
    <definedName name="solver_num" localSheetId="4" hidden="1">2</definedName>
    <definedName name="solver_nwt" localSheetId="4" hidden="1">1</definedName>
    <definedName name="solver_opt" localSheetId="4" hidden="1">'3. Cost-benefit analysis'!#REF!</definedName>
    <definedName name="solver_pre" localSheetId="4" hidden="1">0.000001</definedName>
    <definedName name="solver_rbv" localSheetId="4" hidden="1">2</definedName>
    <definedName name="solver_rel1" localSheetId="4" hidden="1">1</definedName>
    <definedName name="solver_rel2" localSheetId="4" hidden="1">1</definedName>
    <definedName name="solver_rel3" localSheetId="4" hidden="1">1</definedName>
    <definedName name="solver_rel4" localSheetId="4" hidden="1">1</definedName>
    <definedName name="solver_rhs1" localSheetId="4" hidden="1">0.7*'3. Cost-benefit analysis'!$D$14</definedName>
    <definedName name="solver_rhs2" localSheetId="4" hidden="1">0.7*'3. Cost-benefit analysis'!$D$13</definedName>
    <definedName name="solver_rhs3" localSheetId="4" hidden="1">0.7*'3. Cost-benefit analysis'!$D$13</definedName>
    <definedName name="solver_rhs4" localSheetId="4" hidden="1">0.7*'3. Cost-benefit analysis'!$D$13</definedName>
    <definedName name="solver_rlx" localSheetId="4" hidden="1">2</definedName>
    <definedName name="solver_rsd" localSheetId="4" hidden="1">0</definedName>
    <definedName name="solver_scl" localSheetId="4" hidden="1">2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3</definedName>
    <definedName name="solver_val" localSheetId="4" hidden="1">0</definedName>
    <definedName name="solver_ver" localSheetId="4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4" i="19" l="1"/>
  <c r="V44" i="19"/>
  <c r="U44" i="19"/>
  <c r="AC44" i="19"/>
  <c r="AB44" i="19"/>
  <c r="AA44" i="19"/>
  <c r="I44" i="19" s="1"/>
  <c r="O44" i="19" s="1"/>
  <c r="Q47" i="19"/>
  <c r="O52" i="19"/>
  <c r="U49" i="19"/>
  <c r="I48" i="19"/>
  <c r="I24" i="12"/>
  <c r="H24" i="12"/>
  <c r="G24" i="12"/>
  <c r="F24" i="12"/>
  <c r="E24" i="12"/>
  <c r="B19" i="20"/>
  <c r="B18" i="20"/>
  <c r="B17" i="20"/>
  <c r="E9" i="19"/>
  <c r="H30" i="11"/>
  <c r="G30" i="11"/>
  <c r="H29" i="11"/>
  <c r="G29" i="11"/>
  <c r="H28" i="11"/>
  <c r="G28" i="11"/>
  <c r="E8" i="19" s="1"/>
  <c r="E7" i="19"/>
  <c r="AG44" i="19"/>
  <c r="H46" i="19"/>
  <c r="N46" i="19" s="1"/>
  <c r="T46" i="19" s="1"/>
  <c r="AD46" i="19" s="1"/>
  <c r="D44" i="19"/>
  <c r="D45" i="19" s="1"/>
  <c r="R7" i="11"/>
  <c r="R8" i="11" s="1"/>
  <c r="R9" i="11" s="1"/>
  <c r="R10" i="11" s="1"/>
  <c r="R11" i="11" s="1"/>
  <c r="R12" i="11" s="1"/>
  <c r="R13" i="11" s="1"/>
  <c r="R14" i="11" s="1"/>
  <c r="R15" i="11" s="1"/>
  <c r="R16" i="11" s="1"/>
  <c r="R17" i="11" s="1"/>
  <c r="R18" i="11" s="1"/>
  <c r="R19" i="11" s="1"/>
  <c r="R20" i="11" s="1"/>
  <c r="AG45" i="19"/>
  <c r="AF45" i="19"/>
  <c r="AE45" i="19"/>
  <c r="AF44" i="19"/>
  <c r="AE44" i="19"/>
  <c r="V10" i="11"/>
  <c r="V11" i="11" s="1"/>
  <c r="V12" i="11" s="1"/>
  <c r="V13" i="11" s="1"/>
  <c r="V14" i="11" s="1"/>
  <c r="V15" i="11" s="1"/>
  <c r="V16" i="11" s="1"/>
  <c r="V17" i="11" s="1"/>
  <c r="V18" i="11" s="1"/>
  <c r="V19" i="11" s="1"/>
  <c r="V20" i="11" s="1"/>
  <c r="U9" i="11"/>
  <c r="U10" i="11" s="1"/>
  <c r="U11" i="11" s="1"/>
  <c r="U12" i="11" s="1"/>
  <c r="U13" i="11" s="1"/>
  <c r="U14" i="11" s="1"/>
  <c r="U15" i="11" s="1"/>
  <c r="U16" i="11" s="1"/>
  <c r="U17" i="11" s="1"/>
  <c r="U18" i="11" s="1"/>
  <c r="U19" i="11" s="1"/>
  <c r="U20" i="11" s="1"/>
  <c r="T8" i="11"/>
  <c r="T9" i="11" s="1"/>
  <c r="T10" i="11" s="1"/>
  <c r="T11" i="11" s="1"/>
  <c r="T12" i="11" s="1"/>
  <c r="T13" i="11" s="1"/>
  <c r="T14" i="11" s="1"/>
  <c r="T15" i="11" s="1"/>
  <c r="T16" i="11" s="1"/>
  <c r="T17" i="11" s="1"/>
  <c r="T18" i="11" s="1"/>
  <c r="T19" i="11" s="1"/>
  <c r="T20" i="11" s="1"/>
  <c r="S7" i="11"/>
  <c r="S8" i="11" s="1"/>
  <c r="S9" i="11" s="1"/>
  <c r="S10" i="11" s="1"/>
  <c r="S11" i="11" s="1"/>
  <c r="S12" i="11" s="1"/>
  <c r="S13" i="11" s="1"/>
  <c r="S14" i="11" s="1"/>
  <c r="S15" i="11" s="1"/>
  <c r="S16" i="11" s="1"/>
  <c r="S17" i="11" s="1"/>
  <c r="S18" i="11" s="1"/>
  <c r="S19" i="11" s="1"/>
  <c r="S20" i="11" s="1"/>
  <c r="O10" i="11"/>
  <c r="O11" i="11" s="1"/>
  <c r="O12" i="11" s="1"/>
  <c r="O13" i="11" s="1"/>
  <c r="O14" i="11" s="1"/>
  <c r="O15" i="11" s="1"/>
  <c r="O16" i="11" s="1"/>
  <c r="O17" i="11" s="1"/>
  <c r="O18" i="11" s="1"/>
  <c r="O19" i="11" s="1"/>
  <c r="O20" i="11" s="1"/>
  <c r="N9" i="11"/>
  <c r="N10" i="11" s="1"/>
  <c r="N11" i="11" s="1"/>
  <c r="N12" i="11" s="1"/>
  <c r="N13" i="11" s="1"/>
  <c r="N14" i="11" s="1"/>
  <c r="N15" i="11" s="1"/>
  <c r="N16" i="11" s="1"/>
  <c r="N17" i="11" s="1"/>
  <c r="N18" i="11" s="1"/>
  <c r="N19" i="11" s="1"/>
  <c r="N20" i="11" s="1"/>
  <c r="M8" i="11"/>
  <c r="M9" i="11" s="1"/>
  <c r="M10" i="11" s="1"/>
  <c r="M11" i="11" s="1"/>
  <c r="M12" i="11" s="1"/>
  <c r="M13" i="11" s="1"/>
  <c r="M14" i="11" s="1"/>
  <c r="M15" i="11" s="1"/>
  <c r="M16" i="11" s="1"/>
  <c r="M17" i="11" s="1"/>
  <c r="M18" i="11" s="1"/>
  <c r="M19" i="11" s="1"/>
  <c r="M20" i="11" s="1"/>
  <c r="J44" i="19"/>
  <c r="P44" i="19" s="1"/>
  <c r="K44" i="19"/>
  <c r="Q44" i="19" s="1"/>
  <c r="W45" i="19"/>
  <c r="AC45" i="19" s="1"/>
  <c r="K45" i="19" s="1"/>
  <c r="Q45" i="19" s="1"/>
  <c r="V45" i="19"/>
  <c r="AB45" i="19" s="1"/>
  <c r="J45" i="19" s="1"/>
  <c r="P45" i="19" s="1"/>
  <c r="U45" i="19"/>
  <c r="AA45" i="19" s="1"/>
  <c r="I45" i="19" s="1"/>
  <c r="O45" i="19" s="1"/>
  <c r="W24" i="12"/>
  <c r="M1" i="12"/>
  <c r="L3" i="12"/>
  <c r="N3" i="12"/>
  <c r="L4" i="12"/>
  <c r="N4" i="12"/>
  <c r="L5" i="12"/>
  <c r="N5" i="12"/>
  <c r="L6" i="12"/>
  <c r="N6" i="12"/>
  <c r="L7" i="12"/>
  <c r="N7" i="12"/>
  <c r="L8" i="12"/>
  <c r="N8" i="12"/>
  <c r="L9" i="12"/>
  <c r="N9" i="12"/>
  <c r="L10" i="12"/>
  <c r="N10" i="12"/>
  <c r="L11" i="12"/>
  <c r="N11" i="12"/>
  <c r="L12" i="12"/>
  <c r="N12" i="12"/>
  <c r="L13" i="12"/>
  <c r="N13" i="12"/>
  <c r="L14" i="12"/>
  <c r="N14" i="12"/>
  <c r="L15" i="12"/>
  <c r="N15" i="12"/>
  <c r="L16" i="12"/>
  <c r="N16" i="12"/>
  <c r="L17" i="12"/>
  <c r="N17" i="12"/>
  <c r="J22" i="12"/>
  <c r="W25" i="12" s="1"/>
  <c r="O22" i="12"/>
  <c r="W26" i="12" s="1"/>
  <c r="B55" i="12"/>
  <c r="B40" i="12"/>
  <c r="B25" i="12"/>
  <c r="I23" i="12"/>
  <c r="H23" i="12"/>
  <c r="G23" i="12"/>
  <c r="F23" i="12"/>
  <c r="E23" i="12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47" i="19"/>
  <c r="C72" i="11"/>
  <c r="A72" i="11" s="1"/>
  <c r="C71" i="11"/>
  <c r="A71" i="11" s="1"/>
  <c r="C70" i="11"/>
  <c r="A70" i="11" s="1"/>
  <c r="C69" i="11"/>
  <c r="A69" i="11" s="1"/>
  <c r="C68" i="11"/>
  <c r="A68" i="11" s="1"/>
  <c r="C67" i="11"/>
  <c r="A67" i="11" s="1"/>
  <c r="C66" i="11"/>
  <c r="A66" i="11" s="1"/>
  <c r="C65" i="11"/>
  <c r="A65" i="11" s="1"/>
  <c r="C64" i="11"/>
  <c r="A64" i="11" s="1"/>
  <c r="C63" i="11"/>
  <c r="A63" i="11" s="1"/>
  <c r="C62" i="11"/>
  <c r="A62" i="11" s="1"/>
  <c r="C61" i="11"/>
  <c r="A61" i="11" s="1"/>
  <c r="C60" i="11"/>
  <c r="A60" i="11" s="1"/>
  <c r="C59" i="11"/>
  <c r="A59" i="11" s="1"/>
  <c r="C58" i="11"/>
  <c r="A58" i="11" s="1"/>
  <c r="C57" i="11"/>
  <c r="A57" i="11" s="1"/>
  <c r="C56" i="11"/>
  <c r="A56" i="11" s="1"/>
  <c r="C55" i="11"/>
  <c r="A55" i="11" s="1"/>
  <c r="C54" i="11"/>
  <c r="A54" i="11" s="1"/>
  <c r="C53" i="11"/>
  <c r="A53" i="11" s="1"/>
  <c r="C52" i="11"/>
  <c r="A52" i="11" s="1"/>
  <c r="C51" i="11"/>
  <c r="A51" i="11" s="1"/>
  <c r="C50" i="11"/>
  <c r="A50" i="11" s="1"/>
  <c r="C49" i="11"/>
  <c r="A49" i="11" s="1"/>
  <c r="C48" i="11"/>
  <c r="A48" i="11" s="1"/>
  <c r="C47" i="11"/>
  <c r="A47" i="11" s="1"/>
  <c r="C46" i="11"/>
  <c r="A46" i="11" s="1"/>
  <c r="C45" i="11"/>
  <c r="A45" i="11" s="1"/>
  <c r="C44" i="11"/>
  <c r="A44" i="11" s="1"/>
  <c r="C43" i="11"/>
  <c r="A43" i="11" s="1"/>
  <c r="C42" i="11"/>
  <c r="A42" i="11" s="1"/>
  <c r="C41" i="11"/>
  <c r="A41" i="11" s="1"/>
  <c r="C40" i="11"/>
  <c r="A40" i="11" s="1"/>
  <c r="C39" i="11"/>
  <c r="A39" i="11" s="1"/>
  <c r="C38" i="11"/>
  <c r="A38" i="11" s="1"/>
  <c r="C37" i="11"/>
  <c r="A37" i="11" s="1"/>
  <c r="C36" i="11"/>
  <c r="A36" i="11" s="1"/>
  <c r="C35" i="11"/>
  <c r="A35" i="11" s="1"/>
  <c r="C34" i="11"/>
  <c r="A34" i="11" s="1"/>
  <c r="C33" i="11"/>
  <c r="A33" i="11" s="1"/>
  <c r="C32" i="11"/>
  <c r="A32" i="11" s="1"/>
  <c r="C31" i="11"/>
  <c r="A31" i="11" s="1"/>
  <c r="C30" i="11"/>
  <c r="A30" i="11" s="1"/>
  <c r="C29" i="11"/>
  <c r="A29" i="11" s="1"/>
  <c r="C28" i="11"/>
  <c r="A28" i="11" s="1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D69" i="12"/>
  <c r="A69" i="12" s="1"/>
  <c r="D68" i="12"/>
  <c r="A68" i="12" s="1"/>
  <c r="D67" i="12"/>
  <c r="A67" i="12" s="1"/>
  <c r="D66" i="12"/>
  <c r="A66" i="12" s="1"/>
  <c r="D65" i="12"/>
  <c r="A65" i="12" s="1"/>
  <c r="D64" i="12"/>
  <c r="A64" i="12" s="1"/>
  <c r="D63" i="12"/>
  <c r="A63" i="12" s="1"/>
  <c r="D62" i="12"/>
  <c r="A62" i="12" s="1"/>
  <c r="D61" i="12"/>
  <c r="A61" i="12" s="1"/>
  <c r="D60" i="12"/>
  <c r="A60" i="12" s="1"/>
  <c r="D59" i="12"/>
  <c r="A59" i="12" s="1"/>
  <c r="D58" i="12"/>
  <c r="A58" i="12" s="1"/>
  <c r="D57" i="12"/>
  <c r="A57" i="12" s="1"/>
  <c r="D56" i="12"/>
  <c r="A56" i="12" s="1"/>
  <c r="D55" i="12"/>
  <c r="A55" i="12" s="1"/>
  <c r="D54" i="12"/>
  <c r="A54" i="12" s="1"/>
  <c r="D53" i="12"/>
  <c r="A53" i="12" s="1"/>
  <c r="D52" i="12"/>
  <c r="A52" i="12" s="1"/>
  <c r="D51" i="12"/>
  <c r="A51" i="12" s="1"/>
  <c r="D50" i="12"/>
  <c r="A50" i="12" s="1"/>
  <c r="D49" i="12"/>
  <c r="A49" i="12" s="1"/>
  <c r="D48" i="12"/>
  <c r="A48" i="12" s="1"/>
  <c r="D47" i="12"/>
  <c r="A47" i="12" s="1"/>
  <c r="D46" i="12"/>
  <c r="A46" i="12" s="1"/>
  <c r="D45" i="12"/>
  <c r="A45" i="12" s="1"/>
  <c r="D44" i="12"/>
  <c r="A44" i="12" s="1"/>
  <c r="D43" i="12"/>
  <c r="A43" i="12" s="1"/>
  <c r="D42" i="12"/>
  <c r="A42" i="12" s="1"/>
  <c r="D41" i="12"/>
  <c r="A41" i="12" s="1"/>
  <c r="D40" i="12"/>
  <c r="A40" i="12" s="1"/>
  <c r="D39" i="12"/>
  <c r="A39" i="12" s="1"/>
  <c r="D38" i="12"/>
  <c r="A38" i="12" s="1"/>
  <c r="D37" i="12"/>
  <c r="A37" i="12" s="1"/>
  <c r="D36" i="12"/>
  <c r="A36" i="12" s="1"/>
  <c r="D35" i="12"/>
  <c r="A35" i="12" s="1"/>
  <c r="D34" i="12"/>
  <c r="A34" i="12" s="1"/>
  <c r="D33" i="12"/>
  <c r="A33" i="12" s="1"/>
  <c r="D32" i="12"/>
  <c r="A32" i="12" s="1"/>
  <c r="D31" i="12"/>
  <c r="A31" i="12" s="1"/>
  <c r="D30" i="12"/>
  <c r="A30" i="12" s="1"/>
  <c r="D29" i="12"/>
  <c r="A29" i="12" s="1"/>
  <c r="D28" i="12"/>
  <c r="A28" i="12" s="1"/>
  <c r="D27" i="12"/>
  <c r="A27" i="12" s="1"/>
  <c r="D26" i="12"/>
  <c r="A26" i="12" s="1"/>
  <c r="D25" i="12"/>
  <c r="A25" i="12" s="1"/>
  <c r="R6" i="11"/>
  <c r="W6" i="11" s="1"/>
  <c r="E55" i="12" s="1"/>
  <c r="I1" i="12"/>
  <c r="G1" i="12"/>
  <c r="E1" i="12"/>
  <c r="R5" i="11"/>
  <c r="L7" i="11"/>
  <c r="L8" i="11" s="1"/>
  <c r="L9" i="11" s="1"/>
  <c r="L10" i="11" s="1"/>
  <c r="L11" i="11" s="1"/>
  <c r="L12" i="11" s="1"/>
  <c r="L13" i="11" s="1"/>
  <c r="L14" i="11" s="1"/>
  <c r="L15" i="11" s="1"/>
  <c r="L16" i="11" s="1"/>
  <c r="L17" i="11" s="1"/>
  <c r="L18" i="11" s="1"/>
  <c r="L19" i="11" s="1"/>
  <c r="L20" i="11" s="1"/>
  <c r="K6" i="11"/>
  <c r="P6" i="11" s="1"/>
  <c r="F40" i="12" s="1"/>
  <c r="K5" i="11"/>
  <c r="H10" i="1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G9" i="1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F8" i="1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E7" i="11"/>
  <c r="E8" i="11" s="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D6" i="11"/>
  <c r="F3" i="12" s="1"/>
  <c r="E5" i="11"/>
  <c r="F5" i="11" s="1"/>
  <c r="G5" i="11" s="1"/>
  <c r="H5" i="11" s="1"/>
  <c r="O5" i="11" s="1"/>
  <c r="Y46" i="19"/>
  <c r="C14" i="19"/>
  <c r="C15" i="19" s="1"/>
  <c r="C16" i="19" s="1"/>
  <c r="C17" i="19" s="1"/>
  <c r="C18" i="19" s="1"/>
  <c r="C19" i="19" s="1"/>
  <c r="C20" i="19" s="1"/>
  <c r="C21" i="19" s="1"/>
  <c r="C22" i="19" s="1"/>
  <c r="L72" i="4"/>
  <c r="M72" i="4"/>
  <c r="F60" i="4"/>
  <c r="D60" i="4"/>
  <c r="G60" i="4"/>
  <c r="H60" i="4"/>
  <c r="F59" i="4"/>
  <c r="F61" i="4"/>
  <c r="E3" i="4"/>
  <c r="C13" i="4"/>
  <c r="D13" i="4"/>
  <c r="E13" i="4"/>
  <c r="F13" i="4"/>
  <c r="G13" i="4"/>
  <c r="H13" i="4"/>
  <c r="I13" i="4"/>
  <c r="J13" i="4"/>
  <c r="C14" i="4"/>
  <c r="D14" i="4"/>
  <c r="E14" i="4"/>
  <c r="F14" i="4"/>
  <c r="G14" i="4"/>
  <c r="H14" i="4"/>
  <c r="I14" i="4"/>
  <c r="J14" i="4"/>
  <c r="C15" i="4"/>
  <c r="D15" i="4"/>
  <c r="E15" i="4"/>
  <c r="F15" i="4"/>
  <c r="G15" i="4"/>
  <c r="H15" i="4"/>
  <c r="I15" i="4"/>
  <c r="J15" i="4"/>
  <c r="C16" i="4"/>
  <c r="D16" i="4"/>
  <c r="E16" i="4"/>
  <c r="F16" i="4"/>
  <c r="G16" i="4"/>
  <c r="H16" i="4"/>
  <c r="I16" i="4"/>
  <c r="J16" i="4"/>
  <c r="C17" i="4"/>
  <c r="D17" i="4"/>
  <c r="E17" i="4"/>
  <c r="F17" i="4"/>
  <c r="G17" i="4"/>
  <c r="H17" i="4"/>
  <c r="I17" i="4"/>
  <c r="J17" i="4"/>
  <c r="C18" i="4"/>
  <c r="D18" i="4"/>
  <c r="E18" i="4"/>
  <c r="F18" i="4"/>
  <c r="G18" i="4"/>
  <c r="H18" i="4"/>
  <c r="I18" i="4"/>
  <c r="J18" i="4"/>
  <c r="C19" i="4"/>
  <c r="D19" i="4"/>
  <c r="E19" i="4"/>
  <c r="F19" i="4"/>
  <c r="G19" i="4"/>
  <c r="H19" i="4"/>
  <c r="I19" i="4"/>
  <c r="J19" i="4"/>
  <c r="C20" i="4"/>
  <c r="D20" i="4"/>
  <c r="E20" i="4"/>
  <c r="F20" i="4"/>
  <c r="G20" i="4"/>
  <c r="H20" i="4"/>
  <c r="I20" i="4"/>
  <c r="J20" i="4"/>
  <c r="C21" i="4"/>
  <c r="D21" i="4"/>
  <c r="E21" i="4"/>
  <c r="F21" i="4"/>
  <c r="G21" i="4"/>
  <c r="H21" i="4"/>
  <c r="I21" i="4"/>
  <c r="J21" i="4"/>
  <c r="C22" i="4"/>
  <c r="D22" i="4"/>
  <c r="E22" i="4"/>
  <c r="F22" i="4"/>
  <c r="G22" i="4"/>
  <c r="H22" i="4"/>
  <c r="I22" i="4"/>
  <c r="J22" i="4"/>
  <c r="C23" i="4"/>
  <c r="D23" i="4"/>
  <c r="E23" i="4"/>
  <c r="F23" i="4"/>
  <c r="G23" i="4"/>
  <c r="H23" i="4"/>
  <c r="I23" i="4"/>
  <c r="J23" i="4"/>
  <c r="C24" i="4"/>
  <c r="D24" i="4"/>
  <c r="E24" i="4"/>
  <c r="F24" i="4"/>
  <c r="G24" i="4"/>
  <c r="H24" i="4"/>
  <c r="I24" i="4"/>
  <c r="J24" i="4"/>
  <c r="C25" i="4"/>
  <c r="D25" i="4"/>
  <c r="E25" i="4"/>
  <c r="F25" i="4"/>
  <c r="G25" i="4"/>
  <c r="H25" i="4"/>
  <c r="I25" i="4"/>
  <c r="J25" i="4"/>
  <c r="C26" i="4"/>
  <c r="D26" i="4"/>
  <c r="E26" i="4"/>
  <c r="F26" i="4"/>
  <c r="G26" i="4"/>
  <c r="H26" i="4"/>
  <c r="I26" i="4"/>
  <c r="J26" i="4"/>
  <c r="C27" i="4"/>
  <c r="D27" i="4"/>
  <c r="E27" i="4"/>
  <c r="F27" i="4"/>
  <c r="G27" i="4"/>
  <c r="H27" i="4"/>
  <c r="I27" i="4"/>
  <c r="J27" i="4"/>
  <c r="C28" i="4"/>
  <c r="D28" i="4"/>
  <c r="E28" i="4"/>
  <c r="F28" i="4"/>
  <c r="G28" i="4"/>
  <c r="H28" i="4"/>
  <c r="I28" i="4"/>
  <c r="J28" i="4"/>
  <c r="C29" i="4"/>
  <c r="D29" i="4"/>
  <c r="E29" i="4"/>
  <c r="F29" i="4"/>
  <c r="G29" i="4"/>
  <c r="H29" i="4"/>
  <c r="I29" i="4"/>
  <c r="J29" i="4"/>
  <c r="C30" i="4"/>
  <c r="D30" i="4"/>
  <c r="E30" i="4"/>
  <c r="F30" i="4"/>
  <c r="G30" i="4"/>
  <c r="H30" i="4"/>
  <c r="I30" i="4"/>
  <c r="J30" i="4"/>
  <c r="C31" i="4"/>
  <c r="D31" i="4"/>
  <c r="E31" i="4"/>
  <c r="F31" i="4"/>
  <c r="G31" i="4"/>
  <c r="H31" i="4"/>
  <c r="I31" i="4"/>
  <c r="J31" i="4"/>
  <c r="C32" i="4"/>
  <c r="D32" i="4"/>
  <c r="E32" i="4"/>
  <c r="F32" i="4"/>
  <c r="G32" i="4"/>
  <c r="H32" i="4"/>
  <c r="I32" i="4"/>
  <c r="J32" i="4"/>
  <c r="J4" i="4"/>
  <c r="J5" i="4"/>
  <c r="J6" i="4"/>
  <c r="J7" i="4"/>
  <c r="J8" i="4"/>
  <c r="J9" i="4"/>
  <c r="J10" i="4"/>
  <c r="J11" i="4"/>
  <c r="J12" i="4"/>
  <c r="J3" i="4"/>
  <c r="I4" i="4"/>
  <c r="I5" i="4"/>
  <c r="I6" i="4"/>
  <c r="I7" i="4"/>
  <c r="I8" i="4"/>
  <c r="I9" i="4"/>
  <c r="I10" i="4"/>
  <c r="I11" i="4"/>
  <c r="I12" i="4"/>
  <c r="I3" i="4"/>
  <c r="H3" i="4"/>
  <c r="H4" i="4"/>
  <c r="H5" i="4"/>
  <c r="H6" i="4"/>
  <c r="H7" i="4"/>
  <c r="H8" i="4"/>
  <c r="H9" i="4"/>
  <c r="H10" i="4"/>
  <c r="H11" i="4"/>
  <c r="H12" i="4"/>
  <c r="G3" i="4"/>
  <c r="G4" i="4"/>
  <c r="G5" i="4"/>
  <c r="G6" i="4"/>
  <c r="G7" i="4"/>
  <c r="G8" i="4"/>
  <c r="G9" i="4"/>
  <c r="G10" i="4"/>
  <c r="G11" i="4"/>
  <c r="G12" i="4"/>
  <c r="F3" i="4"/>
  <c r="F4" i="4"/>
  <c r="F5" i="4"/>
  <c r="F6" i="4"/>
  <c r="F7" i="4"/>
  <c r="F8" i="4"/>
  <c r="F9" i="4"/>
  <c r="F10" i="4"/>
  <c r="F11" i="4"/>
  <c r="F12" i="4"/>
  <c r="E4" i="4"/>
  <c r="E5" i="4"/>
  <c r="E6" i="4"/>
  <c r="E7" i="4"/>
  <c r="E8" i="4"/>
  <c r="E9" i="4"/>
  <c r="E10" i="4"/>
  <c r="E11" i="4"/>
  <c r="E12" i="4"/>
  <c r="D3" i="4"/>
  <c r="D4" i="4"/>
  <c r="D5" i="4"/>
  <c r="D6" i="4"/>
  <c r="D7" i="4"/>
  <c r="D8" i="4"/>
  <c r="D9" i="4"/>
  <c r="D10" i="4"/>
  <c r="D11" i="4"/>
  <c r="D12" i="4"/>
  <c r="C3" i="4"/>
  <c r="C5" i="4"/>
  <c r="C6" i="4"/>
  <c r="C7" i="4"/>
  <c r="C8" i="4"/>
  <c r="C9" i="4"/>
  <c r="C10" i="4"/>
  <c r="C11" i="4"/>
  <c r="C12" i="4"/>
  <c r="C4" i="4"/>
  <c r="D7" i="11" l="1"/>
  <c r="D8" i="11" s="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K7" i="11"/>
  <c r="K8" i="11" s="1"/>
  <c r="K9" i="11" s="1"/>
  <c r="K10" i="11" s="1"/>
  <c r="K11" i="11" s="1"/>
  <c r="K12" i="11" s="1"/>
  <c r="K13" i="11" s="1"/>
  <c r="K14" i="11" s="1"/>
  <c r="K15" i="11" s="1"/>
  <c r="K16" i="11" s="1"/>
  <c r="K17" i="11" s="1"/>
  <c r="K18" i="11" s="1"/>
  <c r="K19" i="11" s="1"/>
  <c r="K20" i="11" s="1"/>
  <c r="C47" i="19"/>
  <c r="AC46" i="19"/>
  <c r="AA46" i="19"/>
  <c r="AB46" i="19"/>
  <c r="E40" i="12"/>
  <c r="I55" i="12"/>
  <c r="H55" i="12"/>
  <c r="I40" i="12"/>
  <c r="G55" i="12"/>
  <c r="H40" i="12"/>
  <c r="L18" i="12"/>
  <c r="J3" i="12"/>
  <c r="F55" i="12"/>
  <c r="G40" i="12"/>
  <c r="N18" i="12"/>
  <c r="J4" i="12"/>
  <c r="D43" i="11"/>
  <c r="U5" i="11"/>
  <c r="V5" i="11"/>
  <c r="D58" i="11"/>
  <c r="L5" i="11"/>
  <c r="C23" i="19"/>
  <c r="C24" i="19" s="1"/>
  <c r="C25" i="19" s="1"/>
  <c r="C26" i="19" s="1"/>
  <c r="C27" i="19" s="1"/>
  <c r="S5" i="11"/>
  <c r="I6" i="11"/>
  <c r="E25" i="12" s="1"/>
  <c r="T5" i="11"/>
  <c r="H3" i="12"/>
  <c r="M5" i="11"/>
  <c r="N5" i="11"/>
  <c r="F5" i="12"/>
  <c r="D47" i="19" l="1"/>
  <c r="P7" i="11"/>
  <c r="F56" i="12" s="1"/>
  <c r="J46" i="19"/>
  <c r="I46" i="19"/>
  <c r="K46" i="19"/>
  <c r="H47" i="19"/>
  <c r="N47" i="19" s="1"/>
  <c r="T47" i="19" s="1"/>
  <c r="AD47" i="19" s="1"/>
  <c r="C48" i="19"/>
  <c r="O3" i="12"/>
  <c r="P3" i="12" s="1"/>
  <c r="E41" i="12"/>
  <c r="F41" i="12"/>
  <c r="W7" i="11"/>
  <c r="G25" i="12"/>
  <c r="H25" i="12"/>
  <c r="F25" i="12"/>
  <c r="I25" i="12"/>
  <c r="D28" i="11"/>
  <c r="D13" i="19" s="1"/>
  <c r="Y47" i="19" s="1"/>
  <c r="F4" i="12"/>
  <c r="H4" i="12"/>
  <c r="I7" i="11"/>
  <c r="I8" i="11"/>
  <c r="I41" i="12" l="1"/>
  <c r="D44" i="11"/>
  <c r="G41" i="12"/>
  <c r="H56" i="12"/>
  <c r="H41" i="12"/>
  <c r="G56" i="12"/>
  <c r="I56" i="12"/>
  <c r="U47" i="19"/>
  <c r="C49" i="19"/>
  <c r="H48" i="19"/>
  <c r="N48" i="19" s="1"/>
  <c r="T48" i="19" s="1"/>
  <c r="AD48" i="19" s="1"/>
  <c r="AC47" i="19"/>
  <c r="AB47" i="19"/>
  <c r="AA47" i="19"/>
  <c r="F13" i="19"/>
  <c r="AE46" i="19" s="1"/>
  <c r="W8" i="11"/>
  <c r="J5" i="12"/>
  <c r="D59" i="11"/>
  <c r="E56" i="12"/>
  <c r="J6" i="12"/>
  <c r="O4" i="12"/>
  <c r="P4" i="12" s="1"/>
  <c r="G27" i="12"/>
  <c r="I27" i="12"/>
  <c r="D30" i="11"/>
  <c r="H27" i="12"/>
  <c r="E27" i="12"/>
  <c r="F27" i="12"/>
  <c r="F26" i="12"/>
  <c r="D29" i="11"/>
  <c r="D14" i="19" s="1"/>
  <c r="Y48" i="19" s="1"/>
  <c r="G26" i="12"/>
  <c r="H26" i="12"/>
  <c r="I26" i="12"/>
  <c r="E26" i="12"/>
  <c r="H5" i="12"/>
  <c r="J7" i="12"/>
  <c r="P8" i="11"/>
  <c r="H6" i="12"/>
  <c r="P9" i="11"/>
  <c r="P11" i="11"/>
  <c r="F6" i="12"/>
  <c r="I9" i="11"/>
  <c r="H8" i="12"/>
  <c r="F14" i="19" l="1"/>
  <c r="AF46" i="19"/>
  <c r="P46" i="19" s="1"/>
  <c r="O46" i="19"/>
  <c r="AG46" i="19"/>
  <c r="Q46" i="19" s="1"/>
  <c r="AA48" i="19"/>
  <c r="AB48" i="19"/>
  <c r="AC48" i="19"/>
  <c r="I47" i="19"/>
  <c r="C50" i="19"/>
  <c r="H49" i="19"/>
  <c r="N49" i="19" s="1"/>
  <c r="T49" i="19" s="1"/>
  <c r="AD49" i="19" s="1"/>
  <c r="H7" i="12"/>
  <c r="O5" i="12"/>
  <c r="P5" i="12" s="1"/>
  <c r="D48" i="11"/>
  <c r="H45" i="12"/>
  <c r="H60" i="12"/>
  <c r="I45" i="12"/>
  <c r="I60" i="12"/>
  <c r="E45" i="12"/>
  <c r="F45" i="12"/>
  <c r="F60" i="12"/>
  <c r="G45" i="12"/>
  <c r="G60" i="12"/>
  <c r="D60" i="11"/>
  <c r="E57" i="12"/>
  <c r="D46" i="11"/>
  <c r="E43" i="12"/>
  <c r="F43" i="12"/>
  <c r="F58" i="12"/>
  <c r="G43" i="12"/>
  <c r="G58" i="12"/>
  <c r="H43" i="12"/>
  <c r="H58" i="12"/>
  <c r="I43" i="12"/>
  <c r="I58" i="12"/>
  <c r="D45" i="11"/>
  <c r="G42" i="12"/>
  <c r="H42" i="12"/>
  <c r="H57" i="12"/>
  <c r="I42" i="12"/>
  <c r="F57" i="12"/>
  <c r="G57" i="12"/>
  <c r="E42" i="12"/>
  <c r="I57" i="12"/>
  <c r="F42" i="12"/>
  <c r="W9" i="11"/>
  <c r="O6" i="12"/>
  <c r="D48" i="19"/>
  <c r="P12" i="11"/>
  <c r="P10" i="11"/>
  <c r="H28" i="12"/>
  <c r="D31" i="11"/>
  <c r="I28" i="12"/>
  <c r="E28" i="12"/>
  <c r="F28" i="12"/>
  <c r="G28" i="12"/>
  <c r="J8" i="12"/>
  <c r="W10" i="11"/>
  <c r="I10" i="11"/>
  <c r="F7" i="12"/>
  <c r="H9" i="12"/>
  <c r="P13" i="11"/>
  <c r="D49" i="19" l="1"/>
  <c r="D15" i="19"/>
  <c r="Y49" i="19" s="1"/>
  <c r="AC49" i="19" s="1"/>
  <c r="C51" i="19"/>
  <c r="H50" i="19"/>
  <c r="N50" i="19" s="1"/>
  <c r="T50" i="19" s="1"/>
  <c r="AD50" i="19" s="1"/>
  <c r="AE47" i="19"/>
  <c r="O47" i="19" s="1"/>
  <c r="F15" i="19"/>
  <c r="AF47" i="19"/>
  <c r="AG47" i="19"/>
  <c r="O7" i="12"/>
  <c r="P6" i="12"/>
  <c r="D50" i="11"/>
  <c r="F47" i="12"/>
  <c r="F62" i="12"/>
  <c r="G47" i="12"/>
  <c r="G62" i="12"/>
  <c r="H47" i="12"/>
  <c r="H62" i="12"/>
  <c r="I47" i="12"/>
  <c r="I62" i="12"/>
  <c r="E47" i="12"/>
  <c r="D61" i="11"/>
  <c r="D16" i="19" s="1"/>
  <c r="Y50" i="19" s="1"/>
  <c r="E58" i="12"/>
  <c r="D62" i="11"/>
  <c r="E59" i="12"/>
  <c r="D47" i="11"/>
  <c r="E44" i="12"/>
  <c r="I59" i="12"/>
  <c r="F44" i="12"/>
  <c r="G44" i="12"/>
  <c r="H44" i="12"/>
  <c r="I44" i="12"/>
  <c r="F59" i="12"/>
  <c r="G59" i="12"/>
  <c r="H59" i="12"/>
  <c r="D49" i="11"/>
  <c r="G61" i="12"/>
  <c r="H61" i="12"/>
  <c r="E46" i="12"/>
  <c r="I61" i="12"/>
  <c r="F46" i="12"/>
  <c r="G46" i="12"/>
  <c r="H46" i="12"/>
  <c r="I46" i="12"/>
  <c r="F61" i="12"/>
  <c r="D50" i="19"/>
  <c r="I29" i="12"/>
  <c r="E29" i="12"/>
  <c r="D32" i="11"/>
  <c r="F29" i="12"/>
  <c r="G29" i="12"/>
  <c r="H29" i="12"/>
  <c r="J9" i="12"/>
  <c r="W11" i="11"/>
  <c r="I11" i="11"/>
  <c r="F8" i="12"/>
  <c r="O8" i="12" s="1"/>
  <c r="P14" i="11"/>
  <c r="H10" i="12"/>
  <c r="AA49" i="19" l="1"/>
  <c r="AB49" i="19"/>
  <c r="D17" i="19"/>
  <c r="Y51" i="19" s="1"/>
  <c r="AB51" i="19" s="1"/>
  <c r="AC50" i="19"/>
  <c r="AA50" i="19"/>
  <c r="AB50" i="19"/>
  <c r="C52" i="19"/>
  <c r="H51" i="19"/>
  <c r="N51" i="19" s="1"/>
  <c r="T51" i="19" s="1"/>
  <c r="AD51" i="19" s="1"/>
  <c r="P7" i="12"/>
  <c r="P8" i="12" s="1"/>
  <c r="AF48" i="19"/>
  <c r="F16" i="19"/>
  <c r="AG48" i="19"/>
  <c r="AE48" i="19"/>
  <c r="D51" i="11"/>
  <c r="I48" i="12"/>
  <c r="F63" i="12"/>
  <c r="G63" i="12"/>
  <c r="H63" i="12"/>
  <c r="E48" i="12"/>
  <c r="I63" i="12"/>
  <c r="F48" i="12"/>
  <c r="G48" i="12"/>
  <c r="H48" i="12"/>
  <c r="D63" i="11"/>
  <c r="E60" i="12"/>
  <c r="D51" i="19"/>
  <c r="D33" i="11"/>
  <c r="D18" i="19" s="1"/>
  <c r="Y52" i="19" s="1"/>
  <c r="E30" i="12"/>
  <c r="F30" i="12"/>
  <c r="G30" i="12"/>
  <c r="H30" i="12"/>
  <c r="I30" i="12"/>
  <c r="W12" i="11"/>
  <c r="J10" i="12"/>
  <c r="I12" i="11"/>
  <c r="F9" i="12"/>
  <c r="O9" i="12" s="1"/>
  <c r="P15" i="11"/>
  <c r="H11" i="12"/>
  <c r="AA51" i="19" l="1"/>
  <c r="AC51" i="19"/>
  <c r="F17" i="19"/>
  <c r="AF49" i="19"/>
  <c r="AG49" i="19"/>
  <c r="AE49" i="19"/>
  <c r="AB52" i="19"/>
  <c r="AC52" i="19"/>
  <c r="AA52" i="19"/>
  <c r="C53" i="19"/>
  <c r="H52" i="19"/>
  <c r="N52" i="19" s="1"/>
  <c r="T52" i="19" s="1"/>
  <c r="AD52" i="19" s="1"/>
  <c r="D52" i="19"/>
  <c r="P9" i="12"/>
  <c r="D64" i="11"/>
  <c r="E61" i="12"/>
  <c r="D52" i="11"/>
  <c r="E49" i="12"/>
  <c r="F49" i="12"/>
  <c r="F64" i="12"/>
  <c r="G49" i="12"/>
  <c r="G64" i="12"/>
  <c r="I49" i="12"/>
  <c r="H49" i="12"/>
  <c r="H64" i="12"/>
  <c r="I64" i="12"/>
  <c r="D34" i="11"/>
  <c r="I31" i="12"/>
  <c r="G31" i="12"/>
  <c r="H31" i="12"/>
  <c r="E31" i="12"/>
  <c r="F31" i="12"/>
  <c r="J11" i="12"/>
  <c r="W13" i="11"/>
  <c r="I13" i="11"/>
  <c r="F10" i="12"/>
  <c r="O10" i="12" s="1"/>
  <c r="P16" i="11"/>
  <c r="H12" i="12"/>
  <c r="D19" i="19" l="1"/>
  <c r="Y53" i="19" s="1"/>
  <c r="AA53" i="19" s="1"/>
  <c r="C54" i="19"/>
  <c r="H53" i="19"/>
  <c r="N53" i="19" s="1"/>
  <c r="T53" i="19" s="1"/>
  <c r="AD53" i="19" s="1"/>
  <c r="AF50" i="19"/>
  <c r="AG50" i="19"/>
  <c r="AE50" i="19"/>
  <c r="P10" i="12"/>
  <c r="D65" i="11"/>
  <c r="E62" i="12"/>
  <c r="D53" i="11"/>
  <c r="G50" i="12"/>
  <c r="H50" i="12"/>
  <c r="I50" i="12"/>
  <c r="F65" i="12"/>
  <c r="G65" i="12"/>
  <c r="H65" i="12"/>
  <c r="E50" i="12"/>
  <c r="I65" i="12"/>
  <c r="F50" i="12"/>
  <c r="D53" i="19"/>
  <c r="E32" i="12"/>
  <c r="F32" i="12"/>
  <c r="G32" i="12"/>
  <c r="I32" i="12"/>
  <c r="H32" i="12"/>
  <c r="D35" i="11"/>
  <c r="D20" i="19" s="1"/>
  <c r="Y54" i="19" s="1"/>
  <c r="W14" i="11"/>
  <c r="J12" i="12"/>
  <c r="I14" i="11"/>
  <c r="F11" i="12"/>
  <c r="O11" i="12" s="1"/>
  <c r="H13" i="12"/>
  <c r="P17" i="11"/>
  <c r="AC53" i="19" l="1"/>
  <c r="AB53" i="19"/>
  <c r="C55" i="19"/>
  <c r="H54" i="19"/>
  <c r="N54" i="19" s="1"/>
  <c r="T54" i="19" s="1"/>
  <c r="AD54" i="19" s="1"/>
  <c r="AA54" i="19"/>
  <c r="AC54" i="19"/>
  <c r="AB54" i="19"/>
  <c r="P11" i="12"/>
  <c r="D66" i="11"/>
  <c r="E63" i="12"/>
  <c r="D54" i="11"/>
  <c r="G66" i="12"/>
  <c r="E51" i="12"/>
  <c r="F51" i="12"/>
  <c r="F66" i="12"/>
  <c r="G51" i="12"/>
  <c r="H51" i="12"/>
  <c r="H66" i="12"/>
  <c r="I51" i="12"/>
  <c r="I66" i="12"/>
  <c r="D54" i="19"/>
  <c r="E33" i="12"/>
  <c r="I33" i="12"/>
  <c r="F33" i="12"/>
  <c r="D36" i="11"/>
  <c r="D21" i="19" s="1"/>
  <c r="Y55" i="19" s="1"/>
  <c r="G33" i="12"/>
  <c r="H33" i="12"/>
  <c r="W15" i="11"/>
  <c r="J13" i="12"/>
  <c r="I15" i="11"/>
  <c r="F12" i="12"/>
  <c r="O12" i="12" s="1"/>
  <c r="H14" i="12"/>
  <c r="P18" i="11"/>
  <c r="AA55" i="19" l="1"/>
  <c r="AB55" i="19"/>
  <c r="AC55" i="19"/>
  <c r="C56" i="19"/>
  <c r="H55" i="19"/>
  <c r="N55" i="19" s="1"/>
  <c r="T55" i="19" s="1"/>
  <c r="AD55" i="19" s="1"/>
  <c r="P12" i="12"/>
  <c r="D55" i="19"/>
  <c r="D67" i="11"/>
  <c r="E64" i="12"/>
  <c r="D55" i="11"/>
  <c r="E52" i="12"/>
  <c r="I67" i="12"/>
  <c r="F52" i="12"/>
  <c r="F67" i="12"/>
  <c r="G52" i="12"/>
  <c r="H52" i="12"/>
  <c r="I52" i="12"/>
  <c r="G67" i="12"/>
  <c r="H67" i="12"/>
  <c r="F34" i="12"/>
  <c r="G34" i="12"/>
  <c r="H34" i="12"/>
  <c r="I34" i="12"/>
  <c r="D37" i="11"/>
  <c r="D22" i="19" s="1"/>
  <c r="Y56" i="19" s="1"/>
  <c r="E34" i="12"/>
  <c r="W16" i="11"/>
  <c r="J14" i="12"/>
  <c r="I16" i="11"/>
  <c r="F13" i="12"/>
  <c r="O13" i="12" s="1"/>
  <c r="H15" i="12"/>
  <c r="P19" i="11"/>
  <c r="C57" i="19" l="1"/>
  <c r="H56" i="19"/>
  <c r="N56" i="19" s="1"/>
  <c r="T56" i="19" s="1"/>
  <c r="AD56" i="19" s="1"/>
  <c r="AA56" i="19"/>
  <c r="AB56" i="19"/>
  <c r="AC56" i="19"/>
  <c r="P13" i="12"/>
  <c r="D56" i="19"/>
  <c r="D68" i="11"/>
  <c r="E65" i="12"/>
  <c r="D56" i="11"/>
  <c r="H53" i="12"/>
  <c r="H68" i="12"/>
  <c r="I53" i="12"/>
  <c r="I68" i="12"/>
  <c r="E53" i="12"/>
  <c r="F53" i="12"/>
  <c r="F68" i="12"/>
  <c r="G53" i="12"/>
  <c r="G68" i="12"/>
  <c r="G35" i="12"/>
  <c r="H35" i="12"/>
  <c r="D38" i="11"/>
  <c r="E35" i="12"/>
  <c r="F35" i="12"/>
  <c r="I35" i="12"/>
  <c r="W17" i="11"/>
  <c r="J15" i="12"/>
  <c r="I17" i="11"/>
  <c r="F14" i="12"/>
  <c r="O14" i="12" s="1"/>
  <c r="P20" i="11"/>
  <c r="H16" i="12"/>
  <c r="D23" i="19" l="1"/>
  <c r="Y57" i="19" s="1"/>
  <c r="AC57" i="19" s="1"/>
  <c r="C58" i="19"/>
  <c r="H57" i="19"/>
  <c r="N57" i="19" s="1"/>
  <c r="T57" i="19" s="1"/>
  <c r="AD57" i="19" s="1"/>
  <c r="P14" i="12"/>
  <c r="D57" i="19"/>
  <c r="D69" i="11"/>
  <c r="E66" i="12"/>
  <c r="D57" i="11"/>
  <c r="G69" i="12"/>
  <c r="H69" i="12"/>
  <c r="E54" i="12"/>
  <c r="I69" i="12"/>
  <c r="F54" i="12"/>
  <c r="G54" i="12"/>
  <c r="H54" i="12"/>
  <c r="I54" i="12"/>
  <c r="F69" i="12"/>
  <c r="H36" i="12"/>
  <c r="I36" i="12"/>
  <c r="F36" i="12"/>
  <c r="D39" i="11"/>
  <c r="E36" i="12"/>
  <c r="G36" i="12"/>
  <c r="W18" i="11"/>
  <c r="J16" i="12"/>
  <c r="I18" i="11"/>
  <c r="F15" i="12"/>
  <c r="O15" i="12" s="1"/>
  <c r="H17" i="12"/>
  <c r="AB57" i="19" l="1"/>
  <c r="P15" i="12"/>
  <c r="D24" i="19"/>
  <c r="Y58" i="19" s="1"/>
  <c r="AC58" i="19" s="1"/>
  <c r="AA57" i="19"/>
  <c r="C59" i="19"/>
  <c r="H58" i="19"/>
  <c r="N58" i="19" s="1"/>
  <c r="T58" i="19" s="1"/>
  <c r="AD58" i="19" s="1"/>
  <c r="D70" i="11"/>
  <c r="E67" i="12"/>
  <c r="D58" i="19"/>
  <c r="I37" i="12"/>
  <c r="F37" i="12"/>
  <c r="D40" i="11"/>
  <c r="G37" i="12"/>
  <c r="E37" i="12"/>
  <c r="H37" i="12"/>
  <c r="W19" i="11"/>
  <c r="J17" i="12"/>
  <c r="J18" i="12" s="1"/>
  <c r="I19" i="11"/>
  <c r="F16" i="12"/>
  <c r="O16" i="12" s="1"/>
  <c r="P16" i="12" l="1"/>
  <c r="AB58" i="19"/>
  <c r="AA58" i="19"/>
  <c r="D25" i="19"/>
  <c r="Y59" i="19" s="1"/>
  <c r="AC59" i="19" s="1"/>
  <c r="C60" i="19"/>
  <c r="H59" i="19"/>
  <c r="N59" i="19" s="1"/>
  <c r="T59" i="19" s="1"/>
  <c r="AD59" i="19" s="1"/>
  <c r="D71" i="11"/>
  <c r="E68" i="12"/>
  <c r="D59" i="19"/>
  <c r="E38" i="12"/>
  <c r="F38" i="12"/>
  <c r="D41" i="11"/>
  <c r="G38" i="12"/>
  <c r="H38" i="12"/>
  <c r="I38" i="12"/>
  <c r="W20" i="11"/>
  <c r="I20" i="11"/>
  <c r="F17" i="12"/>
  <c r="O17" i="12" s="1"/>
  <c r="P17" i="12" l="1"/>
  <c r="AB59" i="19"/>
  <c r="D26" i="19"/>
  <c r="Y60" i="19" s="1"/>
  <c r="AC60" i="19" s="1"/>
  <c r="AA59" i="19"/>
  <c r="C61" i="19"/>
  <c r="H61" i="19" s="1"/>
  <c r="N61" i="19" s="1"/>
  <c r="T61" i="19" s="1"/>
  <c r="AD61" i="19" s="1"/>
  <c r="H60" i="19"/>
  <c r="N60" i="19" s="1"/>
  <c r="T60" i="19" s="1"/>
  <c r="AD60" i="19" s="1"/>
  <c r="D72" i="11"/>
  <c r="E69" i="12"/>
  <c r="F18" i="12"/>
  <c r="D60" i="19"/>
  <c r="D42" i="11"/>
  <c r="H39" i="12"/>
  <c r="G39" i="12"/>
  <c r="I39" i="12"/>
  <c r="E39" i="12"/>
  <c r="F39" i="12"/>
  <c r="AB60" i="19" l="1"/>
  <c r="AA60" i="19"/>
  <c r="D27" i="19"/>
  <c r="Y61" i="19" s="1"/>
  <c r="AA61" i="19" s="1"/>
  <c r="AE62" i="19"/>
  <c r="AG62" i="19"/>
  <c r="AF62" i="19"/>
  <c r="D61" i="19"/>
  <c r="H18" i="12"/>
  <c r="Y62" i="19" l="1"/>
  <c r="AC61" i="19"/>
  <c r="AB61" i="19"/>
  <c r="V54" i="19"/>
  <c r="U54" i="19"/>
  <c r="W54" i="19"/>
  <c r="W49" i="19"/>
  <c r="V49" i="19"/>
  <c r="W50" i="19"/>
  <c r="U50" i="19"/>
  <c r="V50" i="19"/>
  <c r="V61" i="19"/>
  <c r="W61" i="19"/>
  <c r="U61" i="19"/>
  <c r="W51" i="19"/>
  <c r="U51" i="19"/>
  <c r="V51" i="19"/>
  <c r="W56" i="19"/>
  <c r="V56" i="19"/>
  <c r="U56" i="19"/>
  <c r="U59" i="19"/>
  <c r="V59" i="19"/>
  <c r="W59" i="19"/>
  <c r="U60" i="19"/>
  <c r="W60" i="19"/>
  <c r="V60" i="19"/>
  <c r="W57" i="19"/>
  <c r="U57" i="19"/>
  <c r="V57" i="19"/>
  <c r="V48" i="19"/>
  <c r="W48" i="19"/>
  <c r="U48" i="19"/>
  <c r="U52" i="19"/>
  <c r="W52" i="19"/>
  <c r="V52" i="19"/>
  <c r="P52" i="19" s="1"/>
  <c r="V53" i="19"/>
  <c r="W53" i="19"/>
  <c r="U53" i="19"/>
  <c r="V55" i="19"/>
  <c r="W55" i="19"/>
  <c r="U55" i="19"/>
  <c r="V47" i="19"/>
  <c r="W47" i="19"/>
  <c r="V58" i="19"/>
  <c r="U58" i="19"/>
  <c r="W58" i="19"/>
  <c r="K56" i="19" l="1"/>
  <c r="Q56" i="19"/>
  <c r="J51" i="19"/>
  <c r="P51" i="19"/>
  <c r="K55" i="19"/>
  <c r="Q55" i="19"/>
  <c r="O48" i="19"/>
  <c r="I60" i="19"/>
  <c r="O60" i="19"/>
  <c r="I51" i="19"/>
  <c r="O51" i="19"/>
  <c r="J49" i="19"/>
  <c r="P49" i="19"/>
  <c r="I52" i="19"/>
  <c r="K48" i="19"/>
  <c r="Q48" i="19"/>
  <c r="O49" i="19"/>
  <c r="I49" i="19"/>
  <c r="J60" i="19"/>
  <c r="P60" i="19"/>
  <c r="K60" i="19"/>
  <c r="Q60" i="19"/>
  <c r="I53" i="19"/>
  <c r="O53" i="19"/>
  <c r="J59" i="19"/>
  <c r="P59" i="19"/>
  <c r="I61" i="19"/>
  <c r="O61" i="19"/>
  <c r="K49" i="19"/>
  <c r="Q49" i="19"/>
  <c r="I50" i="19"/>
  <c r="O50" i="19"/>
  <c r="K59" i="19"/>
  <c r="Q59" i="19"/>
  <c r="K58" i="19"/>
  <c r="Q58" i="19"/>
  <c r="I58" i="19"/>
  <c r="O58" i="19"/>
  <c r="K53" i="19"/>
  <c r="Q53" i="19"/>
  <c r="J57" i="19"/>
  <c r="P57" i="19"/>
  <c r="I59" i="19"/>
  <c r="O59" i="19"/>
  <c r="K61" i="19"/>
  <c r="Q61" i="19"/>
  <c r="K54" i="19"/>
  <c r="Q54" i="19"/>
  <c r="J47" i="19"/>
  <c r="P47" i="19"/>
  <c r="K50" i="19"/>
  <c r="Q50" i="19"/>
  <c r="J48" i="19"/>
  <c r="P48" i="19"/>
  <c r="J58" i="19"/>
  <c r="P58" i="19"/>
  <c r="J53" i="19"/>
  <c r="P53" i="19"/>
  <c r="I57" i="19"/>
  <c r="O57" i="19"/>
  <c r="I56" i="19"/>
  <c r="O56" i="19"/>
  <c r="J61" i="19"/>
  <c r="P61" i="19"/>
  <c r="I54" i="19"/>
  <c r="O54" i="19"/>
  <c r="K52" i="19"/>
  <c r="Q52" i="19"/>
  <c r="I55" i="19"/>
  <c r="O55" i="19"/>
  <c r="J55" i="19"/>
  <c r="P55" i="19"/>
  <c r="K51" i="19"/>
  <c r="Q51" i="19"/>
  <c r="K47" i="19"/>
  <c r="J52" i="19"/>
  <c r="K57" i="19"/>
  <c r="Q57" i="19"/>
  <c r="J56" i="19"/>
  <c r="P56" i="19"/>
  <c r="J50" i="19"/>
  <c r="P50" i="19"/>
  <c r="J54" i="19"/>
  <c r="P54" i="19"/>
  <c r="U62" i="19"/>
  <c r="V62" i="19"/>
  <c r="W62" i="19"/>
  <c r="Q62" i="19" l="1"/>
  <c r="Q63" i="19" s="1"/>
  <c r="Q130" i="19" s="1"/>
  <c r="P62" i="19"/>
  <c r="P63" i="19" s="1"/>
  <c r="Q108" i="19" s="1"/>
  <c r="O62" i="19"/>
  <c r="O63" i="19" s="1"/>
  <c r="Q86" i="19" s="1"/>
  <c r="AA62" i="19"/>
  <c r="AB62" i="19"/>
  <c r="K62" i="19"/>
  <c r="K63" i="19" s="1"/>
  <c r="K130" i="19" s="1"/>
  <c r="I62" i="19"/>
  <c r="I63" i="19" s="1"/>
  <c r="K86" i="19" s="1"/>
  <c r="AC62" i="19"/>
  <c r="J62" i="19"/>
  <c r="J63" i="19" s="1"/>
  <c r="K108" i="19" s="1"/>
</calcChain>
</file>

<file path=xl/sharedStrings.xml><?xml version="1.0" encoding="utf-8"?>
<sst xmlns="http://schemas.openxmlformats.org/spreadsheetml/2006/main" count="326" uniqueCount="149">
  <si>
    <t>year</t>
  </si>
  <si>
    <t>ML</t>
  </si>
  <si>
    <t>FN</t>
  </si>
  <si>
    <t>MI</t>
  </si>
  <si>
    <t>AH</t>
  </si>
  <si>
    <t>AT</t>
  </si>
  <si>
    <t>PA</t>
  </si>
  <si>
    <t>AC</t>
  </si>
  <si>
    <t>SC</t>
  </si>
  <si>
    <t>Year</t>
  </si>
  <si>
    <t>Year 20</t>
  </si>
  <si>
    <t>SOC annual (tCO2)</t>
  </si>
  <si>
    <t>SOC cumulative (tCO2)</t>
  </si>
  <si>
    <t>Conventional (with residues) to Long term regen ag</t>
  </si>
  <si>
    <t>Unit</t>
  </si>
  <si>
    <t>Sum</t>
  </si>
  <si>
    <t>A</t>
  </si>
  <si>
    <t>Frequency</t>
  </si>
  <si>
    <t>Issuance fee</t>
  </si>
  <si>
    <t>Activity</t>
  </si>
  <si>
    <t>Baseline survey</t>
  </si>
  <si>
    <t>Monitoring report</t>
  </si>
  <si>
    <t>Verification report</t>
  </si>
  <si>
    <t>PoA-DD + VPA1</t>
  </si>
  <si>
    <t>Monitoring costs</t>
  </si>
  <si>
    <t>one-off</t>
  </si>
  <si>
    <t>per tonne*</t>
  </si>
  <si>
    <t>B</t>
  </si>
  <si>
    <t>Validation fee</t>
  </si>
  <si>
    <t xml:space="preserve">Upfront carbon certification </t>
  </si>
  <si>
    <t>Monitoring + verification + issuance fees</t>
  </si>
  <si>
    <t>Cost explanation</t>
  </si>
  <si>
    <t>1. Low</t>
  </si>
  <si>
    <t>2. Low-Medium</t>
  </si>
  <si>
    <t>3. Medium</t>
  </si>
  <si>
    <t>5. High</t>
  </si>
  <si>
    <t>tCO2/year/stove</t>
  </si>
  <si>
    <t>Scenario 1</t>
  </si>
  <si>
    <t>4. Medium-High</t>
  </si>
  <si>
    <t>Implementation scenario</t>
  </si>
  <si>
    <t>Key</t>
  </si>
  <si>
    <t>Total</t>
  </si>
  <si>
    <t>per cookstove/year</t>
  </si>
  <si>
    <t>ER potential per stove</t>
  </si>
  <si>
    <t>Value</t>
  </si>
  <si>
    <t>Years</t>
  </si>
  <si>
    <t>Stoves per year:</t>
  </si>
  <si>
    <t>1. ER potential</t>
  </si>
  <si>
    <t>2. Implementation rate</t>
  </si>
  <si>
    <t>Scenario selection:</t>
  </si>
  <si>
    <t>1. Total stoves per year</t>
  </si>
  <si>
    <t>2. Implementation scenario</t>
  </si>
  <si>
    <t>3. Annual drop-off rate</t>
  </si>
  <si>
    <t>CARBON PROJECT DEVELOPMENT COSTS</t>
  </si>
  <si>
    <t>4. Monitoring costs per stove</t>
  </si>
  <si>
    <t>IMPLEMENTATION RATE SCENARIOS</t>
  </si>
  <si>
    <t>5. ER potential per stove</t>
  </si>
  <si>
    <t>6. Price per carbon credit</t>
  </si>
  <si>
    <t>Assumptions</t>
  </si>
  <si>
    <t xml:space="preserve">Note 2: this model assumes a total crediting period of 15 years </t>
  </si>
  <si>
    <t>EMISSION REDUCTION SCENARIO</t>
  </si>
  <si>
    <t>STOVE PRODUCTION &amp; DISTRIBUTION COST SCENARIO</t>
  </si>
  <si>
    <t>7. Cost of stove production and distribution (per unit)</t>
  </si>
  <si>
    <r>
      <rPr>
        <b/>
        <sz val="11"/>
        <color theme="1"/>
        <rFont val="Calibri"/>
        <family val="2"/>
        <scheme val="minor"/>
      </rPr>
      <t>Step 1:</t>
    </r>
    <r>
      <rPr>
        <sz val="11"/>
        <color theme="1"/>
        <rFont val="Calibri"/>
        <family val="2"/>
        <scheme val="minor"/>
      </rPr>
      <t xml:space="preserve"> Define ER potentials per cookstove in sheet '1. ER potentials'</t>
    </r>
  </si>
  <si>
    <r>
      <rPr>
        <b/>
        <sz val="11"/>
        <color theme="1"/>
        <rFont val="Calibri"/>
        <family val="2"/>
        <scheme val="minor"/>
      </rPr>
      <t>Output:</t>
    </r>
    <r>
      <rPr>
        <sz val="11"/>
        <color theme="1"/>
        <rFont val="Calibri"/>
        <family val="2"/>
        <scheme val="minor"/>
      </rPr>
      <t xml:space="preserve"> Cost-benefit analysis in the second part of sheet '3. Cost-benefit analysis'</t>
    </r>
  </si>
  <si>
    <t>Carbon credit issuances</t>
  </si>
  <si>
    <t>Income from carbon credit sales (adjusted for issuance fee)</t>
  </si>
  <si>
    <t>Net income:</t>
  </si>
  <si>
    <t>Internal rate of return:</t>
  </si>
  <si>
    <t>Investment cost cookstoves production and distribution</t>
  </si>
  <si>
    <t>units</t>
  </si>
  <si>
    <t>NET CASH FLOW CARBON COMPONENT ONLY</t>
  </si>
  <si>
    <t>NET CASH FLOW CARBON AND OPERATIONS COSTS</t>
  </si>
  <si>
    <t>PART 1: SCENARIO SELECTION</t>
  </si>
  <si>
    <t>C</t>
  </si>
  <si>
    <t>D</t>
  </si>
  <si>
    <t>PART 2: COST-BENEFIT ANALYSIS</t>
  </si>
  <si>
    <t>IRR on the carbon project development investment</t>
  </si>
  <si>
    <t>INPUTS INTO THE NET CASH FLOW CALCULATIONS</t>
  </si>
  <si>
    <t>net cost per stove</t>
  </si>
  <si>
    <t>Note: the above net cost relates to the difference between the cost of goods sold and the price charged for the cookstove to the end-user</t>
  </si>
  <si>
    <t>ER per stove:</t>
  </si>
  <si>
    <r>
      <rPr>
        <b/>
        <sz val="11"/>
        <color theme="1"/>
        <rFont val="Calibri"/>
        <family val="2"/>
        <scheme val="minor"/>
      </rPr>
      <t xml:space="preserve">Step 2: </t>
    </r>
    <r>
      <rPr>
        <sz val="11"/>
        <color theme="1"/>
        <rFont val="Calibri"/>
        <family val="2"/>
        <scheme val="minor"/>
      </rPr>
      <t>Define cookstove implementation rates in sheet '2. Implementation rate'</t>
    </r>
  </si>
  <si>
    <t xml:space="preserve">Disclaimer: This model represents a simplified approach to determine the cost-benefit of carbon project development for a clean cooking venture. The outputs of this model are to be considered as indicative only, and are not to be used to replace a detailed feasibility assessment. </t>
  </si>
  <si>
    <t>EMISSION REDUCTION POTENTIAL SCENARIOS</t>
  </si>
  <si>
    <t xml:space="preserve">Emission reduction potential per stove </t>
  </si>
  <si>
    <t>Note 1: this implemenation schedule accounts for a drop-off rate as defined in cell D8 of sheet '3.Cost-benefit analysis'</t>
  </si>
  <si>
    <t>ER potential:</t>
  </si>
  <si>
    <t>tCO2/year</t>
  </si>
  <si>
    <t>periodic (once a year)</t>
  </si>
  <si>
    <t>Investment costs carbon project development</t>
  </si>
  <si>
    <t>Operational units (cumulative, including drop-off):</t>
  </si>
  <si>
    <t>Implementation rate:</t>
  </si>
  <si>
    <t>Tool version:</t>
  </si>
  <si>
    <t>Date:</t>
  </si>
  <si>
    <t>Note: the carbon price represents the net price received for the carbon credits, and excludes intermediation fees</t>
  </si>
  <si>
    <t>Note: for alternative choices for 'values' the user can override these defaults in sheet 'A.List' OR adapt the value(s) directly in the yellow cells above</t>
  </si>
  <si>
    <t>3. Annual drop-off</t>
  </si>
  <si>
    <t>Project development costs (estimates valid as of 2024)</t>
  </si>
  <si>
    <t>* Proxy based on existing issuance fees of relevant carbon standards</t>
  </si>
  <si>
    <t>percent</t>
  </si>
  <si>
    <t>Cost in USD</t>
  </si>
  <si>
    <t>USD per tonne</t>
  </si>
  <si>
    <t>USD per year</t>
  </si>
  <si>
    <t>tonnes per stove</t>
  </si>
  <si>
    <t>USD per stove</t>
  </si>
  <si>
    <t>MODEL OUTPUT A: CARBON CREDIT GENERATION POTENTIAL</t>
  </si>
  <si>
    <r>
      <t xml:space="preserve">MODEL OUTPUT C: CASH FLOWS FROM </t>
    </r>
    <r>
      <rPr>
        <b/>
        <sz val="11"/>
        <color theme="0"/>
        <rFont val="Calibri"/>
        <family val="2"/>
        <scheme val="minor"/>
      </rPr>
      <t>CARBON AND BUSINESS COMPONENTS</t>
    </r>
  </si>
  <si>
    <r>
      <t xml:space="preserve">MODEL OUTPUT B: CASH FLOWS FROM </t>
    </r>
    <r>
      <rPr>
        <b/>
        <sz val="11"/>
        <color theme="0"/>
        <rFont val="Calibri"/>
        <family val="2"/>
        <scheme val="minor"/>
      </rPr>
      <t>CARBON COMPONENT ONLY</t>
    </r>
  </si>
  <si>
    <t>stoves per year</t>
  </si>
  <si>
    <t>Low scenario</t>
  </si>
  <si>
    <t>Medium scenario</t>
  </si>
  <si>
    <t>High scenario</t>
  </si>
  <si>
    <t>Low-Medium scenario</t>
  </si>
  <si>
    <t>Medium-High scenario</t>
  </si>
  <si>
    <t>This material has been funded by UKAid from the UK government; however, the information included in this model does not necessarily reflect the UK government’s official policies.</t>
  </si>
  <si>
    <t>Scenario:</t>
  </si>
  <si>
    <t>Value:</t>
  </si>
  <si>
    <t>Unit:</t>
  </si>
  <si>
    <t xml:space="preserve">How to use this tool </t>
  </si>
  <si>
    <t>All user-input cells are shaded yellow. The user can either enter a self-determined input here, or select a default value from the drop-down list provided</t>
  </si>
  <si>
    <t>No new Voluntary Project Activity (VPA) inclusions are assumed (single country PoA)</t>
  </si>
  <si>
    <t>Monitoring, reporting and verification activities occur once every  year</t>
  </si>
  <si>
    <t>Updated March 2024</t>
  </si>
  <si>
    <t>CARBON PRICE SCENARIOS</t>
  </si>
  <si>
    <t>per carbon credit</t>
  </si>
  <si>
    <t>stoves</t>
  </si>
  <si>
    <r>
      <t xml:space="preserve">Step 3: </t>
    </r>
    <r>
      <rPr>
        <sz val="11"/>
        <color theme="1"/>
        <rFont val="Calibri"/>
        <family val="2"/>
        <scheme val="minor"/>
      </rPr>
      <t>Enter the expect costs of the programme, including:</t>
    </r>
  </si>
  <si>
    <t xml:space="preserve"> A.</t>
  </si>
  <si>
    <t xml:space="preserve">Emission Reduction Scenario: </t>
  </si>
  <si>
    <t>Carbon Project Development Costs</t>
  </si>
  <si>
    <t>B.</t>
  </si>
  <si>
    <t>Carbon Pricing Scenarios</t>
  </si>
  <si>
    <t>C.</t>
  </si>
  <si>
    <t>Enter the expected carbon pricing scenarios per carbon credit</t>
  </si>
  <si>
    <t>Stove Production &amp; Distribution Cost Scenario</t>
  </si>
  <si>
    <t>Enter the expected operational costs per stove</t>
  </si>
  <si>
    <t>D.</t>
  </si>
  <si>
    <t>Select the expected ER potential per stove</t>
  </si>
  <si>
    <t>Select the expected implementation rate, in number of stove per year</t>
  </si>
  <si>
    <t>Enter the expected annual drop-off rate (ie the portion of stoves that are expected to drop out of use each year)</t>
  </si>
  <si>
    <t>Enter the expected monitoring costs in dollars per cookstove/year</t>
  </si>
  <si>
    <t>Carbon credit price (Scenario 1)</t>
  </si>
  <si>
    <t>Carbon credit price (Scenario 2)</t>
  </si>
  <si>
    <t>Carbon credit price (Scenario 3)</t>
  </si>
  <si>
    <t>Cost (Scenario 1)</t>
  </si>
  <si>
    <t>Cost (Scenario 2)</t>
  </si>
  <si>
    <t>Cost (Scenario 3)</t>
  </si>
  <si>
    <r>
      <t>Net cash flow</t>
    </r>
    <r>
      <rPr>
        <sz val="11"/>
        <color theme="1"/>
        <rFont val="Calibri"/>
        <family val="2"/>
        <scheme val="minor"/>
      </rPr>
      <t xml:space="preserve"> (undiscounted, assuming issuance once every 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</si>
</sst>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"/>
    <numFmt numFmtId="167" formatCode="0.000"/>
    <numFmt numFmtId="168" formatCode="_-* #,##0_-;\-* #,##0_-;_-* &quot;-&quot;??_-;_-@_-"/>
    <numFmt numFmtId="169" formatCode="_-[$€-2]\ * #,##0_-;\-[$€-2]\ * #,##0_-;_-[$€-2]\ * &quot;-&quot;??_-;_-@_-"/>
    <numFmt numFmtId="170" formatCode="_-[$€-2]\ * #,##0.000_-;\-[$€-2]\ * #,##0.000_-;_-[$€-2]\ * &quot;-&quot;??_-;_-@_-"/>
    <numFmt numFmtId="171" formatCode="_-[$€-2]\ * #,##0.00_-;\-[$€-2]\ * #,##0.00_-;_-[$€-2]\ * &quot;-&quot;??_-;_-@_-"/>
    <numFmt numFmtId="172" formatCode="_([$€-2]\ * #,##0.00_);_([$€-2]\ * \(#,##0.00\);_([$€-2]\ * &quot;-&quot;??_);_(@_)"/>
    <numFmt numFmtId="173" formatCode="_-* #,##0.0_-;\-* #,##0.0_-;_-* &quot;-&quot;??_-;_-@_-"/>
    <numFmt numFmtId="174" formatCode="_-[$$-409]* #,##0.00_ ;_-[$$-409]* \-#,##0.00\ ;_-[$$-409]* &quot;-&quot;??_ ;_-@_ "/>
    <numFmt numFmtId="175" formatCode="_-[$$-409]* #,##0_ ;_-[$$-409]* \-#,##0\ ;_-[$$-409]* &quot;-&quot;??_ ;_-@_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7"/>
      </bottom>
      <diagonal/>
    </border>
    <border>
      <left/>
      <right/>
      <top style="thin">
        <color indexed="64"/>
      </top>
      <bottom style="thin">
        <color theme="7"/>
      </bottom>
      <diagonal/>
    </border>
    <border>
      <left/>
      <right style="thin">
        <color indexed="64"/>
      </right>
      <top style="thin">
        <color indexed="64"/>
      </top>
      <bottom style="thin">
        <color theme="7"/>
      </bottom>
      <diagonal/>
    </border>
    <border>
      <left style="thin">
        <color indexed="64"/>
      </left>
      <right/>
      <top style="thin">
        <color theme="7"/>
      </top>
      <bottom/>
      <diagonal/>
    </border>
    <border>
      <left style="thin">
        <color theme="7"/>
      </left>
      <right style="thin">
        <color indexed="64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7"/>
      </left>
      <right/>
      <top style="thin">
        <color indexed="64"/>
      </top>
      <bottom/>
      <diagonal/>
    </border>
    <border>
      <left style="thin">
        <color theme="7"/>
      </left>
      <right style="thin">
        <color indexed="64"/>
      </right>
      <top style="thin">
        <color indexed="64"/>
      </top>
      <bottom style="thin">
        <color theme="7"/>
      </bottom>
      <diagonal/>
    </border>
    <border>
      <left/>
      <right style="thin">
        <color indexed="64"/>
      </right>
      <top/>
      <bottom style="thin">
        <color theme="7"/>
      </bottom>
      <diagonal/>
    </border>
  </borders>
  <cellStyleXfs count="5">
    <xf numFmtId="0" fontId="0" fillId="0" borderId="0"/>
    <xf numFmtId="0" fontId="5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76">
    <xf numFmtId="0" fontId="0" fillId="0" borderId="0" xfId="0"/>
    <xf numFmtId="166" fontId="0" fillId="0" borderId="0" xfId="0" applyNumberFormat="1"/>
    <xf numFmtId="1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1" fillId="4" borderId="0" xfId="0" applyFont="1" applyFill="1"/>
    <xf numFmtId="0" fontId="1" fillId="4" borderId="0" xfId="0" applyFont="1" applyFill="1" applyAlignment="1">
      <alignment horizontal="center" wrapText="1"/>
    </xf>
    <xf numFmtId="0" fontId="1" fillId="5" borderId="0" xfId="0" applyFont="1" applyFill="1"/>
    <xf numFmtId="2" fontId="0" fillId="0" borderId="0" xfId="0" applyNumberFormat="1"/>
    <xf numFmtId="0" fontId="0" fillId="0" borderId="0" xfId="0" applyAlignment="1">
      <alignment horizontal="right"/>
    </xf>
    <xf numFmtId="0" fontId="3" fillId="4" borderId="3" xfId="0" applyFont="1" applyFill="1" applyBorder="1"/>
    <xf numFmtId="0" fontId="0" fillId="7" borderId="1" xfId="0" applyFill="1" applyBorder="1" applyAlignment="1">
      <alignment wrapText="1"/>
    </xf>
    <xf numFmtId="0" fontId="0" fillId="0" borderId="1" xfId="0" applyBorder="1"/>
    <xf numFmtId="0" fontId="6" fillId="5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1" fontId="1" fillId="4" borderId="4" xfId="0" applyNumberFormat="1" applyFont="1" applyFill="1" applyBorder="1"/>
    <xf numFmtId="0" fontId="0" fillId="5" borderId="0" xfId="0" applyFill="1"/>
    <xf numFmtId="168" fontId="0" fillId="5" borderId="0" xfId="3" applyNumberFormat="1" applyFont="1" applyFill="1" applyBorder="1"/>
    <xf numFmtId="169" fontId="0" fillId="5" borderId="0" xfId="4" applyNumberFormat="1" applyFont="1" applyFill="1" applyBorder="1"/>
    <xf numFmtId="168" fontId="1" fillId="5" borderId="0" xfId="3" applyNumberFormat="1" applyFont="1" applyFill="1" applyBorder="1"/>
    <xf numFmtId="169" fontId="0" fillId="5" borderId="0" xfId="0" applyNumberFormat="1" applyFill="1"/>
    <xf numFmtId="170" fontId="0" fillId="5" borderId="0" xfId="4" applyNumberFormat="1" applyFont="1" applyFill="1" applyBorder="1"/>
    <xf numFmtId="9" fontId="0" fillId="5" borderId="0" xfId="2" applyFont="1" applyFill="1" applyBorder="1"/>
    <xf numFmtId="168" fontId="1" fillId="5" borderId="0" xfId="0" applyNumberFormat="1" applyFont="1" applyFill="1"/>
    <xf numFmtId="0" fontId="7" fillId="0" borderId="0" xfId="0" applyFont="1"/>
    <xf numFmtId="0" fontId="5" fillId="2" borderId="0" xfId="0" applyFont="1" applyFill="1"/>
    <xf numFmtId="0" fontId="5" fillId="0" borderId="0" xfId="0" applyFont="1"/>
    <xf numFmtId="168" fontId="1" fillId="4" borderId="1" xfId="3" applyNumberFormat="1" applyFont="1" applyFill="1" applyBorder="1"/>
    <xf numFmtId="0" fontId="0" fillId="5" borderId="0" xfId="0" applyFill="1" applyAlignment="1">
      <alignment horizontal="right"/>
    </xf>
    <xf numFmtId="38" fontId="0" fillId="5" borderId="0" xfId="0" applyNumberFormat="1" applyFill="1"/>
    <xf numFmtId="0" fontId="1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9" fontId="0" fillId="0" borderId="0" xfId="0" applyNumberFormat="1"/>
    <xf numFmtId="0" fontId="8" fillId="5" borderId="0" xfId="0" applyFont="1" applyFill="1"/>
    <xf numFmtId="0" fontId="14" fillId="0" borderId="0" xfId="0" applyFont="1"/>
    <xf numFmtId="168" fontId="0" fillId="0" borderId="1" xfId="3" applyNumberFormat="1" applyFont="1" applyBorder="1"/>
    <xf numFmtId="168" fontId="0" fillId="0" borderId="0" xfId="3" applyNumberFormat="1" applyFont="1"/>
    <xf numFmtId="168" fontId="0" fillId="0" borderId="13" xfId="3" applyNumberFormat="1" applyFont="1" applyBorder="1"/>
    <xf numFmtId="168" fontId="0" fillId="0" borderId="0" xfId="3" applyNumberFormat="1" applyFont="1" applyBorder="1"/>
    <xf numFmtId="168" fontId="0" fillId="0" borderId="14" xfId="3" applyNumberFormat="1" applyFont="1" applyBorder="1"/>
    <xf numFmtId="168" fontId="0" fillId="0" borderId="15" xfId="3" applyNumberFormat="1" applyFont="1" applyBorder="1"/>
    <xf numFmtId="168" fontId="0" fillId="0" borderId="5" xfId="3" applyNumberFormat="1" applyFont="1" applyBorder="1"/>
    <xf numFmtId="168" fontId="0" fillId="0" borderId="16" xfId="3" applyNumberFormat="1" applyFont="1" applyBorder="1"/>
    <xf numFmtId="0" fontId="1" fillId="7" borderId="11" xfId="0" applyFont="1" applyFill="1" applyBorder="1"/>
    <xf numFmtId="0" fontId="1" fillId="7" borderId="7" xfId="0" applyFont="1" applyFill="1" applyBorder="1"/>
    <xf numFmtId="0" fontId="1" fillId="7" borderId="12" xfId="0" applyFont="1" applyFill="1" applyBorder="1"/>
    <xf numFmtId="0" fontId="1" fillId="4" borderId="17" xfId="0" applyFont="1" applyFill="1" applyBorder="1" applyAlignment="1">
      <alignment horizontal="center" wrapText="1"/>
    </xf>
    <xf numFmtId="0" fontId="1" fillId="3" borderId="6" xfId="0" applyFont="1" applyFill="1" applyBorder="1"/>
    <xf numFmtId="0" fontId="1" fillId="7" borderId="17" xfId="0" applyFont="1" applyFill="1" applyBorder="1"/>
    <xf numFmtId="0" fontId="1" fillId="7" borderId="19" xfId="0" applyFont="1" applyFill="1" applyBorder="1"/>
    <xf numFmtId="0" fontId="1" fillId="7" borderId="20" xfId="0" applyFont="1" applyFill="1" applyBorder="1"/>
    <xf numFmtId="0" fontId="1" fillId="4" borderId="13" xfId="0" applyFont="1" applyFill="1" applyBorder="1"/>
    <xf numFmtId="0" fontId="0" fillId="3" borderId="0" xfId="0" applyFill="1"/>
    <xf numFmtId="0" fontId="1" fillId="4" borderId="15" xfId="0" applyFont="1" applyFill="1" applyBorder="1"/>
    <xf numFmtId="0" fontId="0" fillId="3" borderId="5" xfId="0" applyFill="1" applyBorder="1"/>
    <xf numFmtId="0" fontId="1" fillId="4" borderId="17" xfId="0" applyFont="1" applyFill="1" applyBorder="1"/>
    <xf numFmtId="0" fontId="0" fillId="3" borderId="6" xfId="0" applyFill="1" applyBorder="1"/>
    <xf numFmtId="168" fontId="0" fillId="0" borderId="17" xfId="3" applyNumberFormat="1" applyFont="1" applyBorder="1"/>
    <xf numFmtId="168" fontId="0" fillId="0" borderId="6" xfId="3" applyNumberFormat="1" applyFont="1" applyBorder="1"/>
    <xf numFmtId="168" fontId="0" fillId="0" borderId="18" xfId="3" applyNumberFormat="1" applyFont="1" applyBorder="1"/>
    <xf numFmtId="168" fontId="0" fillId="0" borderId="0" xfId="0" applyNumberFormat="1"/>
    <xf numFmtId="0" fontId="16" fillId="0" borderId="0" xfId="0" applyFont="1"/>
    <xf numFmtId="0" fontId="1" fillId="0" borderId="0" xfId="0" applyFont="1" applyAlignment="1">
      <alignment horizontal="right"/>
    </xf>
    <xf numFmtId="0" fontId="1" fillId="3" borderId="13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6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wrapText="1"/>
    </xf>
    <xf numFmtId="165" fontId="0" fillId="9" borderId="0" xfId="3" applyFont="1" applyFill="1" applyBorder="1"/>
    <xf numFmtId="0" fontId="1" fillId="6" borderId="0" xfId="0" applyFont="1" applyFill="1" applyAlignment="1">
      <alignment horizontal="center" wrapText="1"/>
    </xf>
    <xf numFmtId="0" fontId="1" fillId="6" borderId="0" xfId="0" applyFont="1" applyFill="1"/>
    <xf numFmtId="0" fontId="10" fillId="11" borderId="0" xfId="0" applyFont="1" applyFill="1"/>
    <xf numFmtId="0" fontId="11" fillId="0" borderId="0" xfId="0" applyFont="1"/>
    <xf numFmtId="167" fontId="0" fillId="9" borderId="0" xfId="0" applyNumberFormat="1" applyFill="1"/>
    <xf numFmtId="0" fontId="13" fillId="5" borderId="0" xfId="0" applyFont="1" applyFill="1"/>
    <xf numFmtId="0" fontId="12" fillId="5" borderId="0" xfId="0" applyFont="1" applyFill="1"/>
    <xf numFmtId="0" fontId="0" fillId="5" borderId="0" xfId="0" applyFill="1" applyAlignment="1">
      <alignment horizontal="left"/>
    </xf>
    <xf numFmtId="9" fontId="0" fillId="5" borderId="0" xfId="0" applyNumberFormat="1" applyFill="1"/>
    <xf numFmtId="0" fontId="0" fillId="8" borderId="0" xfId="0" applyFill="1"/>
    <xf numFmtId="168" fontId="0" fillId="8" borderId="0" xfId="0" applyNumberFormat="1" applyFill="1"/>
    <xf numFmtId="168" fontId="0" fillId="5" borderId="0" xfId="0" applyNumberFormat="1" applyFill="1"/>
    <xf numFmtId="0" fontId="2" fillId="5" borderId="0" xfId="0" applyFont="1" applyFill="1"/>
    <xf numFmtId="1" fontId="0" fillId="5" borderId="0" xfId="0" applyNumberFormat="1" applyFill="1"/>
    <xf numFmtId="0" fontId="10" fillId="12" borderId="0" xfId="0" applyFont="1" applyFill="1"/>
    <xf numFmtId="0" fontId="0" fillId="12" borderId="0" xfId="0" applyFill="1"/>
    <xf numFmtId="168" fontId="1" fillId="9" borderId="0" xfId="3" applyNumberFormat="1" applyFont="1" applyFill="1" applyAlignment="1">
      <alignment horizontal="center" vertical="center"/>
    </xf>
    <xf numFmtId="9" fontId="1" fillId="0" borderId="0" xfId="0" applyNumberFormat="1" applyFont="1"/>
    <xf numFmtId="9" fontId="1" fillId="8" borderId="0" xfId="0" applyNumberFormat="1" applyFont="1" applyFill="1"/>
    <xf numFmtId="0" fontId="0" fillId="4" borderId="0" xfId="0" applyFill="1"/>
    <xf numFmtId="168" fontId="0" fillId="4" borderId="0" xfId="0" applyNumberFormat="1" applyFill="1"/>
    <xf numFmtId="0" fontId="0" fillId="13" borderId="0" xfId="0" applyFill="1"/>
    <xf numFmtId="0" fontId="1" fillId="13" borderId="0" xfId="0" applyFont="1" applyFill="1"/>
    <xf numFmtId="0" fontId="10" fillId="14" borderId="0" xfId="0" applyFont="1" applyFill="1" applyAlignment="1">
      <alignment horizontal="left"/>
    </xf>
    <xf numFmtId="0" fontId="10" fillId="14" borderId="0" xfId="0" applyFont="1" applyFill="1"/>
    <xf numFmtId="0" fontId="11" fillId="14" borderId="0" xfId="0" applyFont="1" applyFill="1"/>
    <xf numFmtId="0" fontId="0" fillId="13" borderId="0" xfId="0" applyFill="1" applyAlignment="1">
      <alignment horizontal="left"/>
    </xf>
    <xf numFmtId="0" fontId="10" fillId="10" borderId="0" xfId="0" applyFont="1" applyFill="1" applyAlignment="1">
      <alignment horizontal="left"/>
    </xf>
    <xf numFmtId="0" fontId="10" fillId="11" borderId="0" xfId="0" applyFont="1" applyFill="1" applyAlignment="1">
      <alignment horizontal="left"/>
    </xf>
    <xf numFmtId="0" fontId="1" fillId="8" borderId="0" xfId="0" applyFont="1" applyFill="1"/>
    <xf numFmtId="168" fontId="0" fillId="8" borderId="0" xfId="3" applyNumberFormat="1" applyFont="1" applyFill="1"/>
    <xf numFmtId="0" fontId="8" fillId="0" borderId="0" xfId="0" applyFont="1"/>
    <xf numFmtId="0" fontId="9" fillId="0" borderId="0" xfId="0" applyFont="1"/>
    <xf numFmtId="0" fontId="0" fillId="15" borderId="0" xfId="0" applyFill="1"/>
    <xf numFmtId="0" fontId="1" fillId="15" borderId="0" xfId="0" applyFont="1" applyFill="1"/>
    <xf numFmtId="168" fontId="1" fillId="15" borderId="0" xfId="3" applyNumberFormat="1" applyFont="1" applyFill="1"/>
    <xf numFmtId="168" fontId="1" fillId="15" borderId="0" xfId="0" applyNumberFormat="1" applyFont="1" applyFill="1"/>
    <xf numFmtId="172" fontId="1" fillId="15" borderId="0" xfId="0" applyNumberFormat="1" applyFont="1" applyFill="1"/>
    <xf numFmtId="38" fontId="0" fillId="15" borderId="0" xfId="0" applyNumberFormat="1" applyFill="1"/>
    <xf numFmtId="0" fontId="0" fillId="15" borderId="0" xfId="0" applyFill="1" applyAlignment="1">
      <alignment horizontal="center"/>
    </xf>
    <xf numFmtId="0" fontId="14" fillId="15" borderId="0" xfId="0" applyFont="1" applyFill="1"/>
    <xf numFmtId="169" fontId="0" fillId="15" borderId="0" xfId="0" applyNumberFormat="1" applyFill="1"/>
    <xf numFmtId="171" fontId="0" fillId="5" borderId="0" xfId="3" applyNumberFormat="1" applyFont="1" applyFill="1" applyBorder="1"/>
    <xf numFmtId="9" fontId="11" fillId="9" borderId="0" xfId="0" applyNumberFormat="1" applyFont="1" applyFill="1"/>
    <xf numFmtId="0" fontId="9" fillId="5" borderId="0" xfId="0" applyFont="1" applyFill="1"/>
    <xf numFmtId="0" fontId="1" fillId="6" borderId="0" xfId="0" applyFont="1" applyFill="1" applyAlignment="1">
      <alignment vertical="top"/>
    </xf>
    <xf numFmtId="0" fontId="0" fillId="6" borderId="0" xfId="0" applyFill="1"/>
    <xf numFmtId="0" fontId="10" fillId="5" borderId="0" xfId="0" applyFont="1" applyFill="1" applyAlignment="1">
      <alignment horizontal="left"/>
    </xf>
    <xf numFmtId="168" fontId="0" fillId="9" borderId="0" xfId="3" applyNumberFormat="1" applyFont="1" applyFill="1"/>
    <xf numFmtId="0" fontId="0" fillId="9" borderId="0" xfId="0" applyFill="1"/>
    <xf numFmtId="9" fontId="0" fillId="9" borderId="0" xfId="0" applyNumberFormat="1" applyFill="1"/>
    <xf numFmtId="165" fontId="0" fillId="9" borderId="0" xfId="3" applyFont="1" applyFill="1"/>
    <xf numFmtId="174" fontId="11" fillId="9" borderId="0" xfId="3" applyNumberFormat="1" applyFont="1" applyFill="1" applyBorder="1"/>
    <xf numFmtId="175" fontId="0" fillId="5" borderId="0" xfId="0" applyNumberFormat="1" applyFill="1"/>
    <xf numFmtId="174" fontId="0" fillId="9" borderId="0" xfId="3" applyNumberFormat="1" applyFont="1" applyFill="1"/>
    <xf numFmtId="174" fontId="0" fillId="0" borderId="0" xfId="3" applyNumberFormat="1" applyFont="1"/>
    <xf numFmtId="174" fontId="0" fillId="9" borderId="0" xfId="0" applyNumberFormat="1" applyFill="1"/>
    <xf numFmtId="175" fontId="0" fillId="0" borderId="0" xfId="0" applyNumberFormat="1"/>
    <xf numFmtId="175" fontId="0" fillId="0" borderId="6" xfId="0" applyNumberFormat="1" applyBorder="1"/>
    <xf numFmtId="175" fontId="0" fillId="15" borderId="0" xfId="0" applyNumberFormat="1" applyFill="1"/>
    <xf numFmtId="175" fontId="0" fillId="15" borderId="6" xfId="0" applyNumberFormat="1" applyFill="1" applyBorder="1"/>
    <xf numFmtId="175" fontId="0" fillId="8" borderId="0" xfId="0" applyNumberFormat="1" applyFill="1"/>
    <xf numFmtId="174" fontId="12" fillId="8" borderId="0" xfId="3" applyNumberFormat="1" applyFont="1" applyFill="1"/>
    <xf numFmtId="174" fontId="12" fillId="8" borderId="0" xfId="0" applyNumberFormat="1" applyFont="1" applyFill="1"/>
    <xf numFmtId="167" fontId="1" fillId="0" borderId="0" xfId="0" applyNumberFormat="1" applyFont="1" applyAlignment="1">
      <alignment horizontal="right"/>
    </xf>
    <xf numFmtId="165" fontId="1" fillId="8" borderId="0" xfId="3" applyFont="1" applyFill="1"/>
    <xf numFmtId="0" fontId="13" fillId="5" borderId="0" xfId="0" applyFont="1" applyFill="1" applyAlignment="1">
      <alignment horizontal="left"/>
    </xf>
    <xf numFmtId="9" fontId="1" fillId="13" borderId="0" xfId="0" applyNumberFormat="1" applyFont="1" applyFill="1"/>
    <xf numFmtId="0" fontId="13" fillId="0" borderId="0" xfId="0" applyFont="1" applyAlignment="1">
      <alignment horizontal="left" vertical="top" wrapText="1"/>
    </xf>
    <xf numFmtId="165" fontId="11" fillId="8" borderId="0" xfId="3" applyFont="1" applyFill="1"/>
    <xf numFmtId="168" fontId="11" fillId="8" borderId="0" xfId="3" applyNumberFormat="1" applyFont="1" applyFill="1"/>
    <xf numFmtId="9" fontId="11" fillId="8" borderId="0" xfId="2" applyFont="1" applyFill="1"/>
    <xf numFmtId="174" fontId="1" fillId="9" borderId="17" xfId="3" applyNumberFormat="1" applyFont="1" applyFill="1" applyBorder="1" applyAlignment="1">
      <alignment horizontal="center"/>
    </xf>
    <xf numFmtId="174" fontId="1" fillId="9" borderId="6" xfId="3" applyNumberFormat="1" applyFont="1" applyFill="1" applyBorder="1" applyAlignment="1">
      <alignment horizontal="center"/>
    </xf>
    <xf numFmtId="174" fontId="1" fillId="9" borderId="18" xfId="3" applyNumberFormat="1" applyFont="1" applyFill="1" applyBorder="1" applyAlignment="1">
      <alignment horizontal="center"/>
    </xf>
    <xf numFmtId="0" fontId="0" fillId="5" borderId="0" xfId="0" applyFill="1" applyAlignment="1">
      <alignment vertical="top" wrapText="1"/>
    </xf>
    <xf numFmtId="0" fontId="1" fillId="13" borderId="0" xfId="0" applyFont="1" applyFill="1" applyAlignment="1">
      <alignment horizontal="left"/>
    </xf>
    <xf numFmtId="173" fontId="17" fillId="0" borderId="0" xfId="3" applyNumberFormat="1" applyFont="1" applyAlignment="1">
      <alignment horizontal="left"/>
    </xf>
    <xf numFmtId="0" fontId="0" fillId="5" borderId="0" xfId="0" applyFill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1" fillId="9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/>
    </xf>
    <xf numFmtId="174" fontId="0" fillId="5" borderId="0" xfId="0" applyNumberFormat="1" applyFill="1"/>
    <xf numFmtId="49" fontId="17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3" fillId="5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10" fillId="10" borderId="0" xfId="0" applyFont="1" applyFill="1" applyAlignment="1">
      <alignment horizontal="left"/>
    </xf>
    <xf numFmtId="0" fontId="6" fillId="6" borderId="0" xfId="0" applyFont="1" applyFill="1" applyAlignment="1">
      <alignment horizontal="center" vertical="top" wrapText="1"/>
    </xf>
    <xf numFmtId="0" fontId="1" fillId="6" borderId="0" xfId="0" applyFont="1" applyFill="1" applyAlignment="1">
      <alignment horizontal="right" vertical="center" wrapText="1"/>
    </xf>
    <xf numFmtId="0" fontId="1" fillId="0" borderId="14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1" fillId="3" borderId="17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15" borderId="0" xfId="0" applyFill="1" applyAlignment="1">
      <alignment horizontal="center" wrapText="1"/>
    </xf>
  </cellXfs>
  <cellStyles count="5">
    <cellStyle name="Comma" xfId="3" builtinId="3"/>
    <cellStyle name="Currency" xfId="4" builtinId="4"/>
    <cellStyle name="Normal" xfId="0" builtinId="0"/>
    <cellStyle name="Normal 2" xfId="1" xr:uid="{00000000-0005-0000-0000-000000000000}"/>
    <cellStyle name="Per 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Figure 2: Cash flows </a:t>
            </a:r>
            <a:r>
              <a:rPr lang="en-GB" b="1">
                <a:solidFill>
                  <a:srgbClr val="C00000"/>
                </a:solidFill>
              </a:rPr>
              <a:t>Scenario 1 </a:t>
            </a:r>
            <a:r>
              <a:rPr lang="en-GB" b="1">
                <a:solidFill>
                  <a:sysClr val="windowText" lastClr="000000"/>
                </a:solidFill>
              </a:rPr>
              <a:t>(carbon only)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66464768826974"/>
          <c:y val="0.16805992509363299"/>
          <c:w val="0.81769432667070463"/>
          <c:h val="0.73342793948509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1"/>
          <c:cat>
            <c:numRef>
              <c:f>'3. Cost-benefit analysis'!$C$46:$C$61</c:f>
              <c:numCache>
                <c:formatCode>General</c:formatCode>
                <c:ptCount val="1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</c:numCache>
            </c:numRef>
          </c:cat>
          <c:val>
            <c:numRef>
              <c:f>'3. Cost-benefit analysis'!$I$46:$I$61</c:f>
              <c:numCache>
                <c:formatCode>_-[$$-409]* #,##0_ ;_-[$$-409]* \-#,##0\ ;_-[$$-409]* "-"??_ ;_-@_ </c:formatCode>
                <c:ptCount val="16"/>
                <c:pt idx="0">
                  <c:v>-100000</c:v>
                </c:pt>
                <c:pt idx="1">
                  <c:v>58500</c:v>
                </c:pt>
                <c:pt idx="2">
                  <c:v>142575</c:v>
                </c:pt>
                <c:pt idx="3">
                  <c:v>222446.25</c:v>
                </c:pt>
                <c:pt idx="4">
                  <c:v>298323.9375</c:v>
                </c:pt>
                <c:pt idx="5">
                  <c:v>370407.74062499998</c:v>
                </c:pt>
                <c:pt idx="6">
                  <c:v>350387.35359374998</c:v>
                </c:pt>
                <c:pt idx="7">
                  <c:v>331367.98591406248</c:v>
                </c:pt>
                <c:pt idx="8">
                  <c:v>313299.58661835938</c:v>
                </c:pt>
                <c:pt idx="9">
                  <c:v>296134.60728744144</c:v>
                </c:pt>
                <c:pt idx="10">
                  <c:v>279827.87692306924</c:v>
                </c:pt>
                <c:pt idx="11">
                  <c:v>264336.48307691579</c:v>
                </c:pt>
                <c:pt idx="12">
                  <c:v>249619.65892306998</c:v>
                </c:pt>
                <c:pt idx="13">
                  <c:v>235638.67597691648</c:v>
                </c:pt>
                <c:pt idx="14">
                  <c:v>222356.74217807065</c:v>
                </c:pt>
                <c:pt idx="15">
                  <c:v>209738.90506916711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C3D4-4802-8682-A558AECB1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50"/>
        <c:axId val="1321413343"/>
        <c:axId val="1529757599"/>
      </c:barChart>
      <c:catAx>
        <c:axId val="132141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757599"/>
        <c:crosses val="autoZero"/>
        <c:auto val="0"/>
        <c:lblAlgn val="ctr"/>
        <c:lblOffset val="100"/>
        <c:noMultiLvlLbl val="0"/>
      </c:catAx>
      <c:valAx>
        <c:axId val="152975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413343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Figure 4: Cash flows </a:t>
            </a:r>
            <a:r>
              <a:rPr lang="en-GB" b="1">
                <a:solidFill>
                  <a:schemeClr val="accent2"/>
                </a:solidFill>
              </a:rPr>
              <a:t>S</a:t>
            </a:r>
            <a:r>
              <a:rPr lang="en-GB" sz="1400" b="1" i="0" u="none" strike="noStrike" kern="1200" spc="0" baseline="0">
                <a:solidFill>
                  <a:schemeClr val="accent2"/>
                </a:solidFill>
                <a:latin typeface="+mn-lt"/>
                <a:ea typeface="+mn-ea"/>
                <a:cs typeface="+mn-cs"/>
              </a:rPr>
              <a:t>cenario 2 </a:t>
            </a:r>
            <a:r>
              <a:rPr lang="en-GB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(carbon only)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66464768826974"/>
          <c:y val="0.16805992509363299"/>
          <c:w val="0.81769432667070463"/>
          <c:h val="0.73342793948509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1"/>
          <c:cat>
            <c:numRef>
              <c:f>'3. Cost-benefit analysis'!$C$46:$C$61</c:f>
              <c:numCache>
                <c:formatCode>General</c:formatCode>
                <c:ptCount val="1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</c:numCache>
            </c:numRef>
          </c:cat>
          <c:val>
            <c:numRef>
              <c:f>'3. Cost-benefit analysis'!$J$46:$J$61</c:f>
              <c:numCache>
                <c:formatCode>_-[$$-409]* #,##0_ ;_-[$$-409]* \-#,##0\ ;_-[$$-409]* "-"??_ ;_-@_ </c:formatCode>
                <c:ptCount val="16"/>
                <c:pt idx="0">
                  <c:v>-100000</c:v>
                </c:pt>
                <c:pt idx="1">
                  <c:v>158500</c:v>
                </c:pt>
                <c:pt idx="2">
                  <c:v>337575</c:v>
                </c:pt>
                <c:pt idx="3">
                  <c:v>507696.25</c:v>
                </c:pt>
                <c:pt idx="4">
                  <c:v>669311.4375</c:v>
                </c:pt>
                <c:pt idx="5">
                  <c:v>822845.86562499998</c:v>
                </c:pt>
                <c:pt idx="6">
                  <c:v>780203.57234375004</c:v>
                </c:pt>
                <c:pt idx="7">
                  <c:v>739693.39372656238</c:v>
                </c:pt>
                <c:pt idx="8">
                  <c:v>701208.72404023423</c:v>
                </c:pt>
                <c:pt idx="9">
                  <c:v>664648.28783822281</c:v>
                </c:pt>
                <c:pt idx="10">
                  <c:v>629915.87344631134</c:v>
                </c:pt>
                <c:pt idx="11">
                  <c:v>596920.07977399591</c:v>
                </c:pt>
                <c:pt idx="12">
                  <c:v>565574.07578529604</c:v>
                </c:pt>
                <c:pt idx="13">
                  <c:v>535795.37199603126</c:v>
                </c:pt>
                <c:pt idx="14">
                  <c:v>507505.60339622956</c:v>
                </c:pt>
                <c:pt idx="15">
                  <c:v>480630.32322641806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50AF-4FCB-886B-75495CB13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50"/>
        <c:axId val="1321413343"/>
        <c:axId val="1529757599"/>
      </c:barChart>
      <c:catAx>
        <c:axId val="132141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757599"/>
        <c:crosses val="autoZero"/>
        <c:auto val="0"/>
        <c:lblAlgn val="ctr"/>
        <c:lblOffset val="100"/>
        <c:noMultiLvlLbl val="0"/>
      </c:catAx>
      <c:valAx>
        <c:axId val="152975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413343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Figure 6: Cash flows </a:t>
            </a:r>
            <a:r>
              <a:rPr lang="en-GB" b="1">
                <a:solidFill>
                  <a:srgbClr val="00B050"/>
                </a:solidFill>
              </a:rPr>
              <a:t>Scenario</a:t>
            </a:r>
            <a:r>
              <a:rPr lang="en-GB" b="1" baseline="0">
                <a:solidFill>
                  <a:srgbClr val="00B050"/>
                </a:solidFill>
              </a:rPr>
              <a:t> 3</a:t>
            </a:r>
            <a:r>
              <a:rPr lang="en-GB" b="1">
                <a:solidFill>
                  <a:sysClr val="windowText" lastClr="000000"/>
                </a:solidFill>
              </a:rPr>
              <a:t> (carbon only)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66464768826974"/>
          <c:y val="0.16805992509363299"/>
          <c:w val="0.81769432667070463"/>
          <c:h val="0.73342793948509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1"/>
          <c:cat>
            <c:numRef>
              <c:f>'3. Cost-benefit analysis'!$C$46:$C$61</c:f>
              <c:numCache>
                <c:formatCode>General</c:formatCode>
                <c:ptCount val="1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</c:numCache>
            </c:numRef>
          </c:cat>
          <c:val>
            <c:numRef>
              <c:f>'3. Cost-benefit analysis'!$K$46:$K$61</c:f>
              <c:numCache>
                <c:formatCode>_-[$$-409]* #,##0_ ;_-[$$-409]* \-#,##0\ ;_-[$$-409]* "-"??_ ;_-@_ </c:formatCode>
                <c:ptCount val="16"/>
                <c:pt idx="0">
                  <c:v>-100000</c:v>
                </c:pt>
                <c:pt idx="1">
                  <c:v>258500</c:v>
                </c:pt>
                <c:pt idx="2">
                  <c:v>532575</c:v>
                </c:pt>
                <c:pt idx="3">
                  <c:v>792946.25</c:v>
                </c:pt>
                <c:pt idx="4">
                  <c:v>1040298.9375</c:v>
                </c:pt>
                <c:pt idx="5">
                  <c:v>1275283.9906250001</c:v>
                </c:pt>
                <c:pt idx="6">
                  <c:v>1210019.7910937502</c:v>
                </c:pt>
                <c:pt idx="7">
                  <c:v>1148018.8015390625</c:v>
                </c:pt>
                <c:pt idx="8">
                  <c:v>1089117.8614621093</c:v>
                </c:pt>
                <c:pt idx="9">
                  <c:v>1033161.9683890041</c:v>
                </c:pt>
                <c:pt idx="10">
                  <c:v>980003.86996955355</c:v>
                </c:pt>
                <c:pt idx="11">
                  <c:v>929503.67647107586</c:v>
                </c:pt>
                <c:pt idx="12">
                  <c:v>881528.49264752201</c:v>
                </c:pt>
                <c:pt idx="13">
                  <c:v>835952.06801514595</c:v>
                </c:pt>
                <c:pt idx="14">
                  <c:v>792654.46461438853</c:v>
                </c:pt>
                <c:pt idx="15">
                  <c:v>751521.74138366897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AB81-4458-A3F6-EF4808273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50"/>
        <c:axId val="1321413343"/>
        <c:axId val="1529757599"/>
      </c:barChart>
      <c:catAx>
        <c:axId val="132141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757599"/>
        <c:crosses val="autoZero"/>
        <c:auto val="0"/>
        <c:lblAlgn val="ctr"/>
        <c:lblOffset val="100"/>
        <c:noMultiLvlLbl val="0"/>
      </c:catAx>
      <c:valAx>
        <c:axId val="152975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413343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Figure 1: Carbon</a:t>
            </a:r>
            <a:r>
              <a:rPr lang="en-US" sz="1400" b="1" baseline="0">
                <a:solidFill>
                  <a:sysClr val="windowText" lastClr="000000"/>
                </a:solidFill>
              </a:rPr>
              <a:t> credit issuances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'3. Cost-benefit analysis'!$C$47:$C$61</c:f>
              <c:numCache>
                <c:formatCode>General</c:formatCode>
                <c:ptCount val="1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</c:numCache>
            </c:numRef>
          </c:cat>
          <c:val>
            <c:numRef>
              <c:f>'3. Cost-benefit analysis'!$D$47:$D$61</c:f>
              <c:numCache>
                <c:formatCode>_-* #,##0_-;\-* #,##0_-;_-* "-"??_-;_-@_-</c:formatCode>
                <c:ptCount val="15"/>
                <c:pt idx="0">
                  <c:v>10000</c:v>
                </c:pt>
                <c:pt idx="1">
                  <c:v>19500</c:v>
                </c:pt>
                <c:pt idx="2">
                  <c:v>28525</c:v>
                </c:pt>
                <c:pt idx="3">
                  <c:v>37098.75</c:v>
                </c:pt>
                <c:pt idx="4">
                  <c:v>45243.8125</c:v>
                </c:pt>
                <c:pt idx="5">
                  <c:v>42981.621874999997</c:v>
                </c:pt>
                <c:pt idx="6">
                  <c:v>40832.540781249998</c:v>
                </c:pt>
                <c:pt idx="7">
                  <c:v>38790.913742187498</c:v>
                </c:pt>
                <c:pt idx="8">
                  <c:v>36851.368055078128</c:v>
                </c:pt>
                <c:pt idx="9">
                  <c:v>35008.799652324211</c:v>
                </c:pt>
                <c:pt idx="10">
                  <c:v>33258.359669707999</c:v>
                </c:pt>
                <c:pt idx="11">
                  <c:v>31595.441686222599</c:v>
                </c:pt>
                <c:pt idx="12">
                  <c:v>30015.669601911468</c:v>
                </c:pt>
                <c:pt idx="13">
                  <c:v>28514.886121815893</c:v>
                </c:pt>
                <c:pt idx="14">
                  <c:v>27089.141815725096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E-4D73-96C3-7CDFA33EA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-27"/>
        <c:axId val="1801126496"/>
        <c:axId val="1141892736"/>
      </c:barChart>
      <c:catAx>
        <c:axId val="180112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892736"/>
        <c:crosses val="autoZero"/>
        <c:auto val="1"/>
        <c:lblAlgn val="ctr"/>
        <c:lblOffset val="100"/>
        <c:noMultiLvlLbl val="0"/>
      </c:catAx>
      <c:valAx>
        <c:axId val="114189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Carbon credits per year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2711983524364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112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Figure 3: Cash flows </a:t>
            </a:r>
            <a:r>
              <a:rPr lang="en-GB" b="1">
                <a:solidFill>
                  <a:srgbClr val="C00000"/>
                </a:solidFill>
              </a:rPr>
              <a:t>Scenario 1 </a:t>
            </a:r>
            <a:r>
              <a:rPr lang="en-GB" b="1">
                <a:solidFill>
                  <a:sysClr val="windowText" lastClr="000000"/>
                </a:solidFill>
              </a:rPr>
              <a:t>(carbon+business) </a:t>
            </a:r>
          </a:p>
        </c:rich>
      </c:tx>
      <c:layout>
        <c:manualLayout>
          <c:xMode val="edge"/>
          <c:yMode val="edge"/>
          <c:x val="0.12147351228203923"/>
          <c:y val="2.3168234829822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66464768826974"/>
          <c:y val="0.16805992509363299"/>
          <c:w val="0.81769432667070463"/>
          <c:h val="0.73342793948509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1"/>
          <c:cat>
            <c:numRef>
              <c:f>'3. Cost-benefit analysis'!$C$46:$C$61</c:f>
              <c:numCache>
                <c:formatCode>General</c:formatCode>
                <c:ptCount val="1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</c:numCache>
            </c:numRef>
          </c:cat>
          <c:val>
            <c:numRef>
              <c:f>'3. Cost-benefit analysis'!$O$46:$O$61</c:f>
              <c:numCache>
                <c:formatCode>_-[$$-409]* #,##0_ ;_-[$$-409]* \-#,##0\ ;_-[$$-409]* "-"??_ ;_-@_ </c:formatCode>
                <c:ptCount val="16"/>
                <c:pt idx="0">
                  <c:v>-250000</c:v>
                </c:pt>
                <c:pt idx="1">
                  <c:v>-91500</c:v>
                </c:pt>
                <c:pt idx="2">
                  <c:v>-7425</c:v>
                </c:pt>
                <c:pt idx="3">
                  <c:v>72446.25</c:v>
                </c:pt>
                <c:pt idx="4">
                  <c:v>148323.9375</c:v>
                </c:pt>
                <c:pt idx="5">
                  <c:v>370407.74062499998</c:v>
                </c:pt>
                <c:pt idx="6">
                  <c:v>350387.35359374998</c:v>
                </c:pt>
                <c:pt idx="7">
                  <c:v>331367.98591406248</c:v>
                </c:pt>
                <c:pt idx="8">
                  <c:v>313299.58661835938</c:v>
                </c:pt>
                <c:pt idx="9">
                  <c:v>296134.60728744144</c:v>
                </c:pt>
                <c:pt idx="10">
                  <c:v>279827.87692306924</c:v>
                </c:pt>
                <c:pt idx="11">
                  <c:v>264336.48307691579</c:v>
                </c:pt>
                <c:pt idx="12">
                  <c:v>249619.65892306998</c:v>
                </c:pt>
                <c:pt idx="13">
                  <c:v>235638.67597691648</c:v>
                </c:pt>
                <c:pt idx="14">
                  <c:v>222356.74217807065</c:v>
                </c:pt>
                <c:pt idx="15">
                  <c:v>209738.90506916711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EF41-4628-99D0-1E220FE80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50"/>
        <c:axId val="1321413343"/>
        <c:axId val="1529757599"/>
      </c:barChart>
      <c:catAx>
        <c:axId val="132141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757599"/>
        <c:crosses val="autoZero"/>
        <c:auto val="0"/>
        <c:lblAlgn val="ctr"/>
        <c:lblOffset val="100"/>
        <c:noMultiLvlLbl val="0"/>
      </c:catAx>
      <c:valAx>
        <c:axId val="152975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413343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Figure 5: Cash flows </a:t>
            </a:r>
            <a:r>
              <a:rPr lang="en-GB" b="1">
                <a:solidFill>
                  <a:schemeClr val="accent2"/>
                </a:solidFill>
              </a:rPr>
              <a:t>S</a:t>
            </a:r>
            <a:r>
              <a:rPr lang="en-GB" sz="1400" b="1" i="0" u="none" strike="noStrike" kern="1200" spc="0" baseline="0">
                <a:solidFill>
                  <a:schemeClr val="accent2"/>
                </a:solidFill>
                <a:latin typeface="+mn-lt"/>
                <a:ea typeface="+mn-ea"/>
                <a:cs typeface="+mn-cs"/>
              </a:rPr>
              <a:t>cenario 2 </a:t>
            </a:r>
            <a:r>
              <a:rPr lang="en-GB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(carbon+business)  </a:t>
            </a:r>
          </a:p>
        </c:rich>
      </c:tx>
      <c:layout>
        <c:manualLayout>
          <c:xMode val="edge"/>
          <c:yMode val="edge"/>
          <c:x val="0.18780115653325019"/>
          <c:y val="1.9306862358185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66464768826974"/>
          <c:y val="0.16805992509363299"/>
          <c:w val="0.81769432667070463"/>
          <c:h val="0.73342793948509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1"/>
          <c:cat>
            <c:numRef>
              <c:f>'3. Cost-benefit analysis'!$C$46:$C$61</c:f>
              <c:numCache>
                <c:formatCode>General</c:formatCode>
                <c:ptCount val="1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</c:numCache>
            </c:numRef>
          </c:cat>
          <c:val>
            <c:numRef>
              <c:f>'3. Cost-benefit analysis'!$P$46:$P$61</c:f>
              <c:numCache>
                <c:formatCode>_-[$$-409]* #,##0_ ;_-[$$-409]* \-#,##0\ ;_-[$$-409]* "-"??_ ;_-@_ </c:formatCode>
                <c:ptCount val="16"/>
                <c:pt idx="0">
                  <c:v>-350000</c:v>
                </c:pt>
                <c:pt idx="1">
                  <c:v>-91500</c:v>
                </c:pt>
                <c:pt idx="2">
                  <c:v>87575</c:v>
                </c:pt>
                <c:pt idx="3">
                  <c:v>257696.25</c:v>
                </c:pt>
                <c:pt idx="4">
                  <c:v>419311.4375</c:v>
                </c:pt>
                <c:pt idx="5">
                  <c:v>822845.86562499998</c:v>
                </c:pt>
                <c:pt idx="6">
                  <c:v>780203.57234375004</c:v>
                </c:pt>
                <c:pt idx="7">
                  <c:v>739693.39372656238</c:v>
                </c:pt>
                <c:pt idx="8">
                  <c:v>701208.72404023423</c:v>
                </c:pt>
                <c:pt idx="9">
                  <c:v>664648.28783822281</c:v>
                </c:pt>
                <c:pt idx="10">
                  <c:v>629915.87344631134</c:v>
                </c:pt>
                <c:pt idx="11">
                  <c:v>596920.07977399591</c:v>
                </c:pt>
                <c:pt idx="12">
                  <c:v>565574.07578529604</c:v>
                </c:pt>
                <c:pt idx="13">
                  <c:v>535795.37199603126</c:v>
                </c:pt>
                <c:pt idx="14">
                  <c:v>507505.60339622956</c:v>
                </c:pt>
                <c:pt idx="15">
                  <c:v>480630.32322641806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5EDB-4C7C-BF98-078039CEC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50"/>
        <c:axId val="1321413343"/>
        <c:axId val="1529757599"/>
      </c:barChart>
      <c:catAx>
        <c:axId val="132141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757599"/>
        <c:crosses val="autoZero"/>
        <c:auto val="0"/>
        <c:lblAlgn val="ctr"/>
        <c:lblOffset val="100"/>
        <c:noMultiLvlLbl val="0"/>
      </c:catAx>
      <c:valAx>
        <c:axId val="152975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413343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Figure 7: Cash flows </a:t>
            </a:r>
            <a:r>
              <a:rPr lang="en-GB" b="1">
                <a:solidFill>
                  <a:srgbClr val="00B050"/>
                </a:solidFill>
              </a:rPr>
              <a:t>Scenario 3</a:t>
            </a:r>
            <a:r>
              <a:rPr lang="en-GB" b="1">
                <a:solidFill>
                  <a:sysClr val="windowText" lastClr="000000"/>
                </a:solidFill>
              </a:rPr>
              <a:t> (carbon+business)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66464768826974"/>
          <c:y val="0.16805992509363299"/>
          <c:w val="0.81769432667070463"/>
          <c:h val="0.73342793948509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1"/>
          <c:cat>
            <c:numRef>
              <c:f>'3. Cost-benefit analysis'!$C$46:$C$61</c:f>
              <c:numCache>
                <c:formatCode>General</c:formatCode>
                <c:ptCount val="1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</c:numCache>
            </c:numRef>
          </c:cat>
          <c:val>
            <c:numRef>
              <c:f>'3. Cost-benefit analysis'!$Q$46:$Q$61</c:f>
              <c:numCache>
                <c:formatCode>_-[$$-409]* #,##0_ ;_-[$$-409]* \-#,##0\ ;_-[$$-409]* "-"??_ ;_-@_ </c:formatCode>
                <c:ptCount val="16"/>
                <c:pt idx="0">
                  <c:v>-450000</c:v>
                </c:pt>
                <c:pt idx="1">
                  <c:v>-91500</c:v>
                </c:pt>
                <c:pt idx="2">
                  <c:v>182575</c:v>
                </c:pt>
                <c:pt idx="3">
                  <c:v>442946.25</c:v>
                </c:pt>
                <c:pt idx="4">
                  <c:v>690298.9375</c:v>
                </c:pt>
                <c:pt idx="5">
                  <c:v>1275283.9906250001</c:v>
                </c:pt>
                <c:pt idx="6">
                  <c:v>1210019.7910937502</c:v>
                </c:pt>
                <c:pt idx="7">
                  <c:v>1148018.8015390625</c:v>
                </c:pt>
                <c:pt idx="8">
                  <c:v>1089117.8614621093</c:v>
                </c:pt>
                <c:pt idx="9">
                  <c:v>1033161.9683890041</c:v>
                </c:pt>
                <c:pt idx="10">
                  <c:v>980003.86996955355</c:v>
                </c:pt>
                <c:pt idx="11">
                  <c:v>929503.67647107586</c:v>
                </c:pt>
                <c:pt idx="12">
                  <c:v>881528.49264752201</c:v>
                </c:pt>
                <c:pt idx="13">
                  <c:v>835952.06801514595</c:v>
                </c:pt>
                <c:pt idx="14">
                  <c:v>792654.46461438853</c:v>
                </c:pt>
                <c:pt idx="15">
                  <c:v>751521.74138366897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AEE8-42BD-A533-571284BC5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50"/>
        <c:axId val="1321413343"/>
        <c:axId val="1529757599"/>
      </c:barChart>
      <c:catAx>
        <c:axId val="132141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757599"/>
        <c:crosses val="autoZero"/>
        <c:auto val="0"/>
        <c:lblAlgn val="ctr"/>
        <c:lblOffset val="100"/>
        <c:noMultiLvlLbl val="0"/>
      </c:catAx>
      <c:valAx>
        <c:axId val="1529757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413343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hyperlink" Target="https://climatefocus.com/" TargetMode="External"/><Relationship Id="rId6" Type="http://schemas.openxmlformats.org/officeDocument/2006/relationships/image" Target="../media/image8.png"/><Relationship Id="rId5" Type="http://schemas.openxmlformats.org/officeDocument/2006/relationships/image" Target="../media/image7.jpeg"/><Relationship Id="rId4" Type="http://schemas.openxmlformats.org/officeDocument/2006/relationships/hyperlink" Target="https://mecs.org.uk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679478</xdr:colOff>
      <xdr:row>6</xdr:row>
      <xdr:rowOff>36739</xdr:rowOff>
    </xdr:from>
    <xdr:to>
      <xdr:col>32</xdr:col>
      <xdr:colOff>363877</xdr:colOff>
      <xdr:row>29</xdr:row>
      <xdr:rowOff>103413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90335" y="1179739"/>
          <a:ext cx="8066399" cy="4448174"/>
        </a:xfrm>
        <a:prstGeom prst="rect">
          <a:avLst/>
        </a:prstGeom>
      </xdr:spPr>
    </xdr:pic>
    <xdr:clientData/>
  </xdr:twoCellAnchor>
  <xdr:twoCellAnchor editAs="oneCell">
    <xdr:from>
      <xdr:col>12</xdr:col>
      <xdr:colOff>723900</xdr:colOff>
      <xdr:row>0</xdr:row>
      <xdr:rowOff>57150</xdr:rowOff>
    </xdr:from>
    <xdr:to>
      <xdr:col>21</xdr:col>
      <xdr:colOff>132567</xdr:colOff>
      <xdr:row>35</xdr:row>
      <xdr:rowOff>56317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72675" y="57150"/>
          <a:ext cx="6266667" cy="6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12</xdr:col>
      <xdr:colOff>623429</xdr:colOff>
      <xdr:row>55</xdr:row>
      <xdr:rowOff>66309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7620000"/>
          <a:ext cx="9114286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9</xdr:col>
      <xdr:colOff>404667</xdr:colOff>
      <xdr:row>77</xdr:row>
      <xdr:rowOff>75905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12382500"/>
          <a:ext cx="6609524" cy="23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527050</xdr:colOff>
      <xdr:row>1</xdr:row>
      <xdr:rowOff>31750</xdr:rowOff>
    </xdr:from>
    <xdr:to>
      <xdr:col>14</xdr:col>
      <xdr:colOff>756439</xdr:colOff>
      <xdr:row>3</xdr:row>
      <xdr:rowOff>31750</xdr:rowOff>
    </xdr:to>
    <xdr:pic>
      <xdr:nvPicPr>
        <xdr:cNvPr id="3" name="Picture 2" descr="Climate Focus | Initiative 20x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DC7762-947D-BA01-F10B-819A98435B6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34"/>
        <a:stretch/>
      </xdr:blipFill>
      <xdr:spPr bwMode="auto">
        <a:xfrm>
          <a:off x="7696200" y="215900"/>
          <a:ext cx="1626389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25400</xdr:colOff>
      <xdr:row>13</xdr:row>
      <xdr:rowOff>57150</xdr:rowOff>
    </xdr:from>
    <xdr:to>
      <xdr:col>17</xdr:col>
      <xdr:colOff>198902</xdr:colOff>
      <xdr:row>15</xdr:row>
      <xdr:rowOff>133350</xdr:rowOff>
    </xdr:to>
    <xdr:pic>
      <xdr:nvPicPr>
        <xdr:cNvPr id="2" name="image8.jpeg" descr="A logo with blue and yellow letters&#10;&#10;Description automatically generated">
          <a:extLst>
            <a:ext uri="{FF2B5EF4-FFF2-40B4-BE49-F238E27FC236}">
              <a16:creationId xmlns:a16="http://schemas.microsoft.com/office/drawing/2014/main" id="{2A478471-B2F0-EEF5-D24C-64AAA6848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810500" y="2324100"/>
          <a:ext cx="3221502" cy="457200"/>
        </a:xfrm>
        <a:prstGeom prst="rect">
          <a:avLst/>
        </a:prstGeom>
      </xdr:spPr>
    </xdr:pic>
    <xdr:clientData/>
  </xdr:twoCellAnchor>
  <xdr:twoCellAnchor editAs="oneCell">
    <xdr:from>
      <xdr:col>15</xdr:col>
      <xdr:colOff>196849</xdr:colOff>
      <xdr:row>1</xdr:row>
      <xdr:rowOff>63500</xdr:rowOff>
    </xdr:from>
    <xdr:to>
      <xdr:col>17</xdr:col>
      <xdr:colOff>309106</xdr:colOff>
      <xdr:row>3</xdr:row>
      <xdr:rowOff>0</xdr:rowOff>
    </xdr:to>
    <xdr:pic>
      <xdr:nvPicPr>
        <xdr:cNvPr id="4" name="image7.jpeg" descr="A logo for a restaurant&#10;&#10;Description automatically generate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936F02-B838-52F2-7C24-0B40F0694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798049" y="247650"/>
          <a:ext cx="1344157" cy="539750"/>
        </a:xfrm>
        <a:prstGeom prst="rect">
          <a:avLst/>
        </a:prstGeom>
      </xdr:spPr>
    </xdr:pic>
    <xdr:clientData/>
  </xdr:twoCellAnchor>
  <xdr:twoCellAnchor editAs="oneCell">
    <xdr:from>
      <xdr:col>0</xdr:col>
      <xdr:colOff>723900</xdr:colOff>
      <xdr:row>1</xdr:row>
      <xdr:rowOff>0</xdr:rowOff>
    </xdr:from>
    <xdr:to>
      <xdr:col>3</xdr:col>
      <xdr:colOff>520700</xdr:colOff>
      <xdr:row>4</xdr:row>
      <xdr:rowOff>101600</xdr:rowOff>
    </xdr:to>
    <xdr:pic>
      <xdr:nvPicPr>
        <xdr:cNvPr id="2054" name="Picture 6">
          <a:extLst>
            <a:ext uri="{FF2B5EF4-FFF2-40B4-BE49-F238E27FC236}">
              <a16:creationId xmlns:a16="http://schemas.microsoft.com/office/drawing/2014/main" id="{65AE39E3-8C10-E225-0CE4-8DC8E7FD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190500"/>
          <a:ext cx="605790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18146</xdr:colOff>
      <xdr:row>66</xdr:row>
      <xdr:rowOff>48078</xdr:rowOff>
    </xdr:from>
    <xdr:to>
      <xdr:col>11</xdr:col>
      <xdr:colOff>829817</xdr:colOff>
      <xdr:row>84</xdr:row>
      <xdr:rowOff>22364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B13BAAF-AACF-4B05-834E-64EFDDBA04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798284</xdr:colOff>
      <xdr:row>88</xdr:row>
      <xdr:rowOff>12699</xdr:rowOff>
    </xdr:from>
    <xdr:to>
      <xdr:col>11</xdr:col>
      <xdr:colOff>809855</xdr:colOff>
      <xdr:row>105</xdr:row>
      <xdr:rowOff>171135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25564A3-5075-4DA5-B62F-CBAB6E78AC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22676</xdr:colOff>
      <xdr:row>110</xdr:row>
      <xdr:rowOff>51704</xdr:rowOff>
    </xdr:from>
    <xdr:to>
      <xdr:col>12</xdr:col>
      <xdr:colOff>8847</xdr:colOff>
      <xdr:row>128</xdr:row>
      <xdr:rowOff>25990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E0C40A2-99AF-4A1C-B177-7D57F04AD7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40820</xdr:colOff>
      <xdr:row>66</xdr:row>
      <xdr:rowOff>58964</xdr:rowOff>
    </xdr:from>
    <xdr:to>
      <xdr:col>5</xdr:col>
      <xdr:colOff>793663</xdr:colOff>
      <xdr:row>84</xdr:row>
      <xdr:rowOff>69250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9A6200-680D-131C-5124-B9B93683EC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14515</xdr:colOff>
      <xdr:row>66</xdr:row>
      <xdr:rowOff>30843</xdr:rowOff>
    </xdr:from>
    <xdr:to>
      <xdr:col>18</xdr:col>
      <xdr:colOff>12701</xdr:colOff>
      <xdr:row>84</xdr:row>
      <xdr:rowOff>5129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CE34C4-394C-4510-86FD-82181F761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1815</xdr:colOff>
      <xdr:row>88</xdr:row>
      <xdr:rowOff>3629</xdr:rowOff>
    </xdr:from>
    <xdr:to>
      <xdr:col>18</xdr:col>
      <xdr:colOff>50801</xdr:colOff>
      <xdr:row>105</xdr:row>
      <xdr:rowOff>162065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BAB69B7-C76F-4B4E-9BEB-D07D9DC36E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20863</xdr:colOff>
      <xdr:row>110</xdr:row>
      <xdr:rowOff>51707</xdr:rowOff>
    </xdr:from>
    <xdr:to>
      <xdr:col>18</xdr:col>
      <xdr:colOff>246520</xdr:colOff>
      <xdr:row>128</xdr:row>
      <xdr:rowOff>25993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CBA7623-7F10-47BF-87C1-A5A8600401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limatefocusglobal-my.sharepoint.com/Users/hgalt/Dropbox/GS_Cookstoves%20share%20GEP/ER%20calc/ER%20Calculations%20GEP_02_2-3.%20PDD22Oct13_base%20on%20db%20ex-a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DD tables"/>
      <sheetName val="GS meth"/>
      <sheetName val="c - stoves per year"/>
      <sheetName val="c - GE calculation"/>
      <sheetName val="i - Table 14 fao report"/>
      <sheetName val="i- Table T11 fao SA report"/>
      <sheetName val="i-Table 11 FAO report"/>
      <sheetName val="i - Summary &amp; transpose"/>
      <sheetName val="i - tables reports"/>
      <sheetName val="example db"/>
      <sheetName val="sampling frame"/>
      <sheetName val="Sheet1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>
        <row r="18">
          <cell r="D18">
            <v>300000</v>
          </cell>
        </row>
        <row r="19">
          <cell r="D19">
            <v>0.5</v>
          </cell>
        </row>
        <row r="20">
          <cell r="D20">
            <v>1.645</v>
          </cell>
        </row>
        <row r="21">
          <cell r="D21">
            <v>0.1</v>
          </cell>
        </row>
      </sheetData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elle5" displayName="Tabelle5" ref="B3:D8" totalsRowShown="0" headerRowDxfId="4">
  <autoFilter ref="B3:D8" xr:uid="{00000000-0009-0000-0100-000005000000}"/>
  <tableColumns count="3">
    <tableColumn id="1" xr3:uid="{00000000-0010-0000-0000-000001000000}" name="Emission reduction potential per stove "/>
    <tableColumn id="3" xr3:uid="{00000000-0010-0000-0000-000003000000}" name="Value" dataDxfId="3" dataCellStyle="Comma"/>
    <tableColumn id="5" xr3:uid="{00000000-0010-0000-0000-000005000000}" name="Unit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E72"/>
  <sheetViews>
    <sheetView zoomScale="70" zoomScaleNormal="70" workbookViewId="0">
      <selection activeCell="R63" sqref="R63"/>
    </sheetView>
  </sheetViews>
  <sheetFormatPr baseColWidth="10" defaultColWidth="11.5" defaultRowHeight="15" x14ac:dyDescent="0.2"/>
  <cols>
    <col min="5" max="5" width="13" customWidth="1"/>
  </cols>
  <sheetData>
    <row r="2" spans="2:11" x14ac:dyDescent="0.2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</row>
    <row r="3" spans="2:11" x14ac:dyDescent="0.2">
      <c r="B3">
        <v>1</v>
      </c>
      <c r="C3" s="1">
        <f>50.68000108*(1-EXP(-0.030167673*B3))^0.717195398</f>
        <v>4.070845202817349</v>
      </c>
      <c r="D3" s="1">
        <f t="shared" ref="D3:D12" si="0">2383.512343*(1-EXP(-0.000284492*B3))^0.727970155</f>
        <v>6.2494423420124177</v>
      </c>
      <c r="E3" s="1">
        <f>925.6916236*(1-EXP(-0.001048719*B3))^0.855385878</f>
        <v>2.6168899325470614</v>
      </c>
      <c r="F3" s="1">
        <f>34.89459876*(1-EXP(-0.154969651*B3))^1.23243339</f>
        <v>3.1904631021018681</v>
      </c>
      <c r="G3" s="1">
        <f>274.3677891*(1-EXP(-0.002157642*B3))^0.531037775</f>
        <v>10.527535368432742</v>
      </c>
      <c r="H3" s="1">
        <f>114.7370795*(1-EXP(-0.001933712*B3))^0.464612565</f>
        <v>6.2911821844186742</v>
      </c>
      <c r="I3" s="1">
        <f>87.0915212*(1-EXP(-0.075999743*B3))^1.306592624</f>
        <v>2.859084138967126</v>
      </c>
      <c r="J3" s="1">
        <f>430.2892643*(1-EXP(-0.009262885*B3))^1.112584878</f>
        <v>2.340760731440962</v>
      </c>
      <c r="K3" s="8"/>
    </row>
    <row r="4" spans="2:11" x14ac:dyDescent="0.2">
      <c r="B4">
        <v>2</v>
      </c>
      <c r="C4" s="1">
        <f>50.68000108*(1-EXP(-0.030167673*B4))^0.717195398</f>
        <v>6.6209319644137823</v>
      </c>
      <c r="D4" s="1">
        <f t="shared" si="0"/>
        <v>10.349923739102174</v>
      </c>
      <c r="E4" s="1">
        <f t="shared" ref="E4:E12" si="1">925.6916236*(1-EXP(-0.001048719*B4))^0.855385878</f>
        <v>4.7324661979356479</v>
      </c>
      <c r="F4" s="1">
        <f t="shared" ref="F4:F12" si="2">34.89459876*(1-EXP(-0.154969651*B4))^1.23243339</f>
        <v>6.8388865191204156</v>
      </c>
      <c r="G4" s="1">
        <f t="shared" ref="G4:G12" si="3">274.3677891*(1-EXP(-0.002157642*B4))^0.531037775</f>
        <v>15.203246514184933</v>
      </c>
      <c r="H4" s="1">
        <f t="shared" ref="H4:H12" si="4">114.7370795*(1-EXP(-0.001933712*B4))^0.464612565</f>
        <v>8.6775991335919898</v>
      </c>
      <c r="I4" s="1">
        <f t="shared" ref="I4:I12" si="5">87.0915212*(1-EXP(-0.075999743*B4))^1.306592624</f>
        <v>6.7359247840697085</v>
      </c>
      <c r="J4" s="1">
        <f t="shared" ref="J4:J12" si="6">430.2892643*(1-EXP(-0.009262885*B4))^1.112584878</f>
        <v>5.0355366602947855</v>
      </c>
      <c r="K4" s="8"/>
    </row>
    <row r="5" spans="2:11" x14ac:dyDescent="0.2">
      <c r="B5">
        <v>3</v>
      </c>
      <c r="C5" s="1">
        <f t="shared" ref="C5:C12" si="7">50.68000108*(1-EXP(-0.030167673*B5))^0.717195398</f>
        <v>8.7613653943550176</v>
      </c>
      <c r="D5" s="1">
        <f t="shared" si="0"/>
        <v>13.902130621470352</v>
      </c>
      <c r="E5" s="1">
        <f t="shared" si="1"/>
        <v>6.691427672377662</v>
      </c>
      <c r="F5" s="1">
        <f t="shared" si="2"/>
        <v>10.308707955798306</v>
      </c>
      <c r="G5" s="1">
        <f t="shared" si="3"/>
        <v>18.845118233427129</v>
      </c>
      <c r="H5" s="1">
        <f t="shared" si="4"/>
        <v>10.47174026284558</v>
      </c>
      <c r="I5" s="1">
        <f t="shared" si="5"/>
        <v>10.904262319498596</v>
      </c>
      <c r="J5" s="1">
        <f t="shared" si="6"/>
        <v>7.8656208278051079</v>
      </c>
      <c r="K5" s="8"/>
    </row>
    <row r="6" spans="2:11" x14ac:dyDescent="0.2">
      <c r="B6">
        <v>4</v>
      </c>
      <c r="C6" s="1">
        <f t="shared" si="7"/>
        <v>10.655202793780081</v>
      </c>
      <c r="D6" s="1">
        <f t="shared" si="0"/>
        <v>17.139102342677106</v>
      </c>
      <c r="E6" s="1">
        <f t="shared" si="1"/>
        <v>8.5545061749825688</v>
      </c>
      <c r="F6" s="1">
        <f t="shared" si="2"/>
        <v>13.472261097180722</v>
      </c>
      <c r="G6" s="1">
        <f t="shared" si="3"/>
        <v>21.943078833826341</v>
      </c>
      <c r="H6" s="1">
        <f t="shared" si="4"/>
        <v>11.963881358039412</v>
      </c>
      <c r="I6" s="1">
        <f t="shared" si="5"/>
        <v>15.143708838110522</v>
      </c>
      <c r="J6" s="1">
        <f t="shared" si="6"/>
        <v>10.777354872637339</v>
      </c>
      <c r="K6" s="8"/>
    </row>
    <row r="7" spans="2:11" x14ac:dyDescent="0.2">
      <c r="B7">
        <v>5</v>
      </c>
      <c r="C7" s="1">
        <f t="shared" si="7"/>
        <v>12.372947779867646</v>
      </c>
      <c r="D7" s="1">
        <f t="shared" si="0"/>
        <v>20.160008334383964</v>
      </c>
      <c r="E7" s="1">
        <f t="shared" si="1"/>
        <v>10.348937399836354</v>
      </c>
      <c r="F7" s="1">
        <f t="shared" si="2"/>
        <v>16.29986167277012</v>
      </c>
      <c r="G7" s="1">
        <f t="shared" si="3"/>
        <v>24.689485434183926</v>
      </c>
      <c r="H7" s="1">
        <f t="shared" si="4"/>
        <v>13.264866983603728</v>
      </c>
      <c r="I7" s="1">
        <f t="shared" si="5"/>
        <v>19.342737874093892</v>
      </c>
      <c r="J7" s="1">
        <f t="shared" si="6"/>
        <v>13.743915629458582</v>
      </c>
      <c r="K7" s="8"/>
    </row>
    <row r="8" spans="2:11" x14ac:dyDescent="0.2">
      <c r="B8">
        <v>6</v>
      </c>
      <c r="C8" s="1">
        <f t="shared" si="7"/>
        <v>13.953824147376919</v>
      </c>
      <c r="D8" s="1">
        <f t="shared" si="0"/>
        <v>23.019046564543956</v>
      </c>
      <c r="E8" s="1">
        <f t="shared" si="1"/>
        <v>12.090149548660536</v>
      </c>
      <c r="F8" s="1">
        <f t="shared" si="2"/>
        <v>18.798249297555053</v>
      </c>
      <c r="G8" s="1">
        <f t="shared" si="3"/>
        <v>27.183912179239051</v>
      </c>
      <c r="H8" s="1">
        <f t="shared" si="4"/>
        <v>14.431010944984802</v>
      </c>
      <c r="I8" s="1">
        <f t="shared" si="5"/>
        <v>23.437458771083822</v>
      </c>
      <c r="J8" s="1">
        <f t="shared" si="6"/>
        <v>16.748945677451765</v>
      </c>
      <c r="K8" s="8"/>
    </row>
    <row r="9" spans="2:11" x14ac:dyDescent="0.2">
      <c r="B9">
        <v>7</v>
      </c>
      <c r="C9" s="1">
        <f t="shared" si="7"/>
        <v>15.422770594981376</v>
      </c>
      <c r="D9" s="1">
        <f t="shared" si="0"/>
        <v>25.750024024376131</v>
      </c>
      <c r="E9" s="1">
        <f t="shared" si="1"/>
        <v>13.788036951732099</v>
      </c>
      <c r="F9" s="1">
        <f t="shared" si="2"/>
        <v>20.989349320374231</v>
      </c>
      <c r="G9" s="1">
        <f t="shared" si="3"/>
        <v>29.485942158090079</v>
      </c>
      <c r="H9" s="1">
        <f t="shared" si="4"/>
        <v>15.495528512300686</v>
      </c>
      <c r="I9" s="1">
        <f t="shared" si="5"/>
        <v>27.389742237370502</v>
      </c>
      <c r="J9" s="1">
        <f t="shared" si="6"/>
        <v>19.781355624282845</v>
      </c>
      <c r="K9" s="8"/>
    </row>
    <row r="10" spans="2:11" x14ac:dyDescent="0.2">
      <c r="B10">
        <v>8</v>
      </c>
      <c r="C10" s="1">
        <f t="shared" si="7"/>
        <v>16.797039740223759</v>
      </c>
      <c r="D10" s="1">
        <f t="shared" si="0"/>
        <v>28.375863715826242</v>
      </c>
      <c r="E10" s="1">
        <f t="shared" si="1"/>
        <v>15.449463138595204</v>
      </c>
      <c r="F10" s="1">
        <f t="shared" si="2"/>
        <v>22.901035130343477</v>
      </c>
      <c r="G10" s="1">
        <f t="shared" si="3"/>
        <v>31.634632220018574</v>
      </c>
      <c r="H10" s="1">
        <f t="shared" si="4"/>
        <v>16.479937540001661</v>
      </c>
      <c r="I10" s="1">
        <f t="shared" si="5"/>
        <v>31.177000669809456</v>
      </c>
      <c r="J10" s="1">
        <f t="shared" si="6"/>
        <v>22.833109474057746</v>
      </c>
      <c r="K10" s="8"/>
    </row>
    <row r="11" spans="2:11" x14ac:dyDescent="0.2">
      <c r="B11">
        <v>9</v>
      </c>
      <c r="C11" s="1">
        <f t="shared" si="7"/>
        <v>18.089287052417376</v>
      </c>
      <c r="D11" s="1">
        <f t="shared" si="0"/>
        <v>30.913035020548779</v>
      </c>
      <c r="E11" s="1">
        <f t="shared" si="1"/>
        <v>17.079455978192254</v>
      </c>
      <c r="F11" s="1">
        <f t="shared" si="2"/>
        <v>24.562670781385073</v>
      </c>
      <c r="G11" s="1">
        <f t="shared" si="3"/>
        <v>33.657252973302356</v>
      </c>
      <c r="H11" s="1">
        <f t="shared" si="4"/>
        <v>17.399113034117445</v>
      </c>
      <c r="I11" s="1">
        <f t="shared" si="5"/>
        <v>34.786642935015458</v>
      </c>
      <c r="J11" s="1">
        <f t="shared" si="6"/>
        <v>25.898110571020432</v>
      </c>
      <c r="K11" s="8"/>
    </row>
    <row r="12" spans="2:11" x14ac:dyDescent="0.2">
      <c r="B12">
        <v>10</v>
      </c>
      <c r="C12" s="1">
        <f t="shared" si="7"/>
        <v>19.309205056844299</v>
      </c>
      <c r="D12" s="1">
        <f t="shared" si="0"/>
        <v>33.373886303924806</v>
      </c>
      <c r="E12" s="1">
        <f t="shared" si="1"/>
        <v>18.681849708762272</v>
      </c>
      <c r="F12" s="1">
        <f t="shared" si="2"/>
        <v>26.002878659537551</v>
      </c>
      <c r="G12" s="1">
        <f t="shared" si="3"/>
        <v>35.573751577578399</v>
      </c>
      <c r="H12" s="1">
        <f t="shared" si="4"/>
        <v>18.263841140057195</v>
      </c>
      <c r="I12" s="1">
        <f t="shared" si="5"/>
        <v>38.21276313013238</v>
      </c>
      <c r="J12" s="1">
        <f t="shared" si="6"/>
        <v>28.971576311349754</v>
      </c>
      <c r="K12" s="8"/>
    </row>
    <row r="13" spans="2:11" x14ac:dyDescent="0.2">
      <c r="B13">
        <v>11</v>
      </c>
      <c r="C13" s="1">
        <f t="shared" ref="C13:C32" si="8">50.68000108*(1-EXP(-0.030167673*B13))^0.717195398</f>
        <v>20.46446689056323</v>
      </c>
      <c r="D13" s="1">
        <f t="shared" ref="D13:D32" si="9">2383.512343*(1-EXP(-0.000284492*B13))^0.727970155</f>
        <v>35.767984803527177</v>
      </c>
      <c r="E13" s="1">
        <f t="shared" ref="E13:E32" si="10">925.6916236*(1-EXP(-0.001048719*B13))^0.855385878</f>
        <v>20.259660144972084</v>
      </c>
      <c r="F13" s="1">
        <f t="shared" ref="F13:F32" si="11">34.89459876*(1-EXP(-0.154969651*B13))^1.23243339</f>
        <v>27.248442089810883</v>
      </c>
      <c r="G13" s="1">
        <f t="shared" ref="G13:G32" si="12">274.3677891*(1-EXP(-0.002157642*B13))^0.531037775</f>
        <v>37.399249035153247</v>
      </c>
      <c r="H13" s="1">
        <f t="shared" ref="H13:H32" si="13">114.7370795*(1-EXP(-0.001933712*B13))^0.464612565</f>
        <v>19.082235524233315</v>
      </c>
      <c r="I13" s="1">
        <f t="shared" ref="I13:I32" si="14">87.0915212*(1-EXP(-0.075999743*B13))^1.306592624</f>
        <v>41.454029224270435</v>
      </c>
      <c r="J13" s="1">
        <f t="shared" ref="J13:J32" si="15">430.2892643*(1-EXP(-0.009262885*B13))^1.112584878</f>
        <v>32.049658534451773</v>
      </c>
      <c r="K13" s="8"/>
    </row>
    <row r="14" spans="2:11" x14ac:dyDescent="0.2">
      <c r="B14">
        <v>12</v>
      </c>
      <c r="C14" s="1">
        <f t="shared" si="8"/>
        <v>21.561308218917521</v>
      </c>
      <c r="D14" s="1">
        <f t="shared" si="9"/>
        <v>38.10293850539265</v>
      </c>
      <c r="E14" s="1">
        <f t="shared" si="10"/>
        <v>21.815318335033218</v>
      </c>
      <c r="F14" s="1">
        <f t="shared" si="11"/>
        <v>28.323818371749667</v>
      </c>
      <c r="G14" s="1">
        <f t="shared" si="12"/>
        <v>39.145537350561817</v>
      </c>
      <c r="H14" s="1">
        <f t="shared" si="13"/>
        <v>19.860579858480047</v>
      </c>
      <c r="I14" s="1">
        <f t="shared" si="14"/>
        <v>44.512272369076079</v>
      </c>
      <c r="J14" s="1">
        <f t="shared" si="15"/>
        <v>35.129198985912943</v>
      </c>
      <c r="K14" s="8"/>
    </row>
    <row r="15" spans="2:11" x14ac:dyDescent="0.2">
      <c r="B15">
        <v>13</v>
      </c>
      <c r="C15" s="1">
        <f t="shared" si="8"/>
        <v>22.604905150748984</v>
      </c>
      <c r="D15" s="1">
        <f t="shared" si="9"/>
        <v>40.384926872236726</v>
      </c>
      <c r="E15" s="1">
        <f t="shared" si="10"/>
        <v>23.350823495851532</v>
      </c>
      <c r="F15" s="1">
        <f t="shared" si="11"/>
        <v>29.250988498944885</v>
      </c>
      <c r="G15" s="1">
        <f t="shared" si="12"/>
        <v>40.822026842163787</v>
      </c>
      <c r="H15" s="1">
        <f t="shared" si="13"/>
        <v>20.603857168145321</v>
      </c>
      <c r="I15" s="1">
        <f t="shared" si="14"/>
        <v>47.391511770817061</v>
      </c>
      <c r="J15" s="1">
        <f t="shared" si="15"/>
        <v>38.207564290483596</v>
      </c>
      <c r="K15" s="8"/>
    </row>
    <row r="16" spans="2:11" x14ac:dyDescent="0.2">
      <c r="B16">
        <v>14</v>
      </c>
      <c r="C16" s="1">
        <f t="shared" si="8"/>
        <v>23.599630114358661</v>
      </c>
      <c r="D16" s="1">
        <f t="shared" si="9"/>
        <v>42.619058060380425</v>
      </c>
      <c r="E16" s="1">
        <f t="shared" si="10"/>
        <v>24.867847212610588</v>
      </c>
      <c r="F16" s="1">
        <f t="shared" si="11"/>
        <v>30.04949255653916</v>
      </c>
      <c r="G16" s="1">
        <f t="shared" si="12"/>
        <v>42.436372158749663</v>
      </c>
      <c r="H16" s="1">
        <f t="shared" si="13"/>
        <v>21.316097436251244</v>
      </c>
      <c r="I16" s="1">
        <f t="shared" si="14"/>
        <v>50.097263668364924</v>
      </c>
      <c r="J16" s="1">
        <f t="shared" si="15"/>
        <v>41.282530323534232</v>
      </c>
      <c r="K16" s="8"/>
    </row>
    <row r="17" spans="2:11" x14ac:dyDescent="0.2">
      <c r="B17">
        <v>15</v>
      </c>
      <c r="C17" s="1">
        <f t="shared" si="8"/>
        <v>24.549231164581855</v>
      </c>
      <c r="D17" s="1">
        <f t="shared" si="9"/>
        <v>44.809617702722427</v>
      </c>
      <c r="E17" s="1">
        <f t="shared" si="10"/>
        <v>26.367806821307255</v>
      </c>
      <c r="F17" s="1">
        <f t="shared" si="11"/>
        <v>30.736564399234489</v>
      </c>
      <c r="G17" s="1">
        <f t="shared" si="12"/>
        <v>43.994901046674777</v>
      </c>
      <c r="H17" s="1">
        <f t="shared" si="13"/>
        <v>22.000614311380623</v>
      </c>
      <c r="I17" s="1">
        <f t="shared" si="14"/>
        <v>52.636042748276445</v>
      </c>
      <c r="J17" s="1">
        <f t="shared" si="15"/>
        <v>44.352198647205292</v>
      </c>
      <c r="K17" s="8"/>
    </row>
    <row r="18" spans="2:11" x14ac:dyDescent="0.2">
      <c r="B18">
        <v>16</v>
      </c>
      <c r="C18" s="1">
        <f t="shared" si="8"/>
        <v>25.456961315709975</v>
      </c>
      <c r="D18" s="1">
        <f t="shared" si="9"/>
        <v>46.960247208492895</v>
      </c>
      <c r="E18" s="1">
        <f t="shared" si="10"/>
        <v>27.851918543292715</v>
      </c>
      <c r="F18" s="1">
        <f t="shared" si="11"/>
        <v>31.327315112159216</v>
      </c>
      <c r="G18" s="1">
        <f t="shared" si="12"/>
        <v>45.502916966984259</v>
      </c>
      <c r="H18" s="1">
        <f t="shared" si="13"/>
        <v>22.660171287394085</v>
      </c>
      <c r="I18" s="1">
        <f t="shared" si="14"/>
        <v>55.014997865566976</v>
      </c>
      <c r="J18" s="1">
        <f t="shared" si="15"/>
        <v>47.414934529561116</v>
      </c>
      <c r="K18" s="8"/>
    </row>
    <row r="19" spans="2:11" x14ac:dyDescent="0.2">
      <c r="B19">
        <v>17</v>
      </c>
      <c r="C19" s="1">
        <f t="shared" si="8"/>
        <v>26.325674154278552</v>
      </c>
      <c r="D19" s="1">
        <f t="shared" si="9"/>
        <v>49.074074704013881</v>
      </c>
      <c r="E19" s="1">
        <f t="shared" si="10"/>
        <v>29.321236879244044</v>
      </c>
      <c r="F19" s="1">
        <f t="shared" si="11"/>
        <v>31.834935518995398</v>
      </c>
      <c r="G19" s="1">
        <f t="shared" si="12"/>
        <v>46.964918206010204</v>
      </c>
      <c r="H19" s="1">
        <f t="shared" si="13"/>
        <v>23.297101435770681</v>
      </c>
      <c r="I19" s="1">
        <f t="shared" si="14"/>
        <v>57.241643768467917</v>
      </c>
      <c r="J19" s="1">
        <f t="shared" si="15"/>
        <v>50.469319943264495</v>
      </c>
      <c r="K19" s="8"/>
    </row>
    <row r="20" spans="2:11" x14ac:dyDescent="0.2">
      <c r="B20">
        <v>18</v>
      </c>
      <c r="C20" s="1">
        <f t="shared" si="8"/>
        <v>27.157896042373743</v>
      </c>
      <c r="D20" s="1">
        <f t="shared" si="9"/>
        <v>51.153813237446393</v>
      </c>
      <c r="E20" s="1">
        <f t="shared" si="10"/>
        <v>30.776684417432062</v>
      </c>
      <c r="F20" s="1">
        <f t="shared" si="11"/>
        <v>32.270900359681058</v>
      </c>
      <c r="G20" s="1">
        <f t="shared" si="12"/>
        <v>48.384760056134027</v>
      </c>
      <c r="H20" s="1">
        <f t="shared" si="13"/>
        <v>23.91339562359758</v>
      </c>
      <c r="I20" s="1">
        <f t="shared" si="14"/>
        <v>59.323662776687982</v>
      </c>
      <c r="J20" s="1">
        <f t="shared" si="15"/>
        <v>53.514117236630646</v>
      </c>
      <c r="K20" s="8"/>
    </row>
    <row r="21" spans="2:11" x14ac:dyDescent="0.2">
      <c r="B21">
        <v>19</v>
      </c>
      <c r="C21" s="1">
        <f t="shared" si="8"/>
        <v>27.955881664136541</v>
      </c>
      <c r="D21" s="1">
        <f t="shared" si="9"/>
        <v>53.201835793804001</v>
      </c>
      <c r="E21" s="1">
        <f t="shared" si="10"/>
        <v>32.219074793049266</v>
      </c>
      <c r="F21" s="1">
        <f t="shared" si="11"/>
        <v>32.645164258859033</v>
      </c>
      <c r="G21" s="1">
        <f t="shared" si="12"/>
        <v>49.765777184100116</v>
      </c>
      <c r="H21" s="1">
        <f t="shared" si="13"/>
        <v>24.510768790654929</v>
      </c>
      <c r="I21" s="1">
        <f t="shared" si="14"/>
        <v>61.268758218271287</v>
      </c>
      <c r="J21" s="1">
        <f t="shared" si="15"/>
        <v>56.548240582759696</v>
      </c>
      <c r="K21" s="8"/>
    </row>
    <row r="22" spans="2:11" x14ac:dyDescent="0.2">
      <c r="B22">
        <v>20</v>
      </c>
      <c r="C22" s="1">
        <f t="shared" si="8"/>
        <v>28.721657462204593</v>
      </c>
      <c r="D22" s="1">
        <f t="shared" si="9"/>
        <v>55.220233526901481</v>
      </c>
      <c r="E22" s="1">
        <f t="shared" si="10"/>
        <v>33.649130650686899</v>
      </c>
      <c r="F22" s="1">
        <f t="shared" si="11"/>
        <v>32.966344205172931</v>
      </c>
      <c r="G22" s="1">
        <f t="shared" si="12"/>
        <v>51.110877530995204</v>
      </c>
      <c r="H22" s="1">
        <f t="shared" si="13"/>
        <v>25.090710602715721</v>
      </c>
      <c r="I22" s="1">
        <f t="shared" si="14"/>
        <v>63.084546629680375</v>
      </c>
      <c r="J22" s="1">
        <f t="shared" si="15"/>
        <v>59.570733210879254</v>
      </c>
      <c r="K22" s="8"/>
    </row>
    <row r="23" spans="2:11" x14ac:dyDescent="0.2">
      <c r="B23">
        <v>21</v>
      </c>
      <c r="C23" s="1">
        <f t="shared" si="8"/>
        <v>29.457056100793366</v>
      </c>
      <c r="D23" s="1">
        <f t="shared" si="9"/>
        <v>57.210861613303024</v>
      </c>
      <c r="E23" s="1">
        <f t="shared" si="10"/>
        <v>35.067497893434194</v>
      </c>
      <c r="F23" s="1">
        <f t="shared" si="11"/>
        <v>33.241886087194402</v>
      </c>
      <c r="G23" s="1">
        <f t="shared" si="12"/>
        <v>52.422615452323171</v>
      </c>
      <c r="H23" s="1">
        <f t="shared" si="13"/>
        <v>25.65452475618396</v>
      </c>
      <c r="I23" s="1">
        <f t="shared" si="14"/>
        <v>64.77847926067021</v>
      </c>
      <c r="J23" s="1">
        <f t="shared" si="15"/>
        <v>62.580749012005448</v>
      </c>
      <c r="K23" s="8"/>
    </row>
    <row r="24" spans="2:11" x14ac:dyDescent="0.2">
      <c r="B24">
        <v>22</v>
      </c>
      <c r="C24" s="1">
        <f t="shared" si="8"/>
        <v>30.163744166338859</v>
      </c>
      <c r="D24" s="1">
        <f t="shared" si="9"/>
        <v>59.175375822567894</v>
      </c>
      <c r="E24" s="1">
        <f t="shared" si="10"/>
        <v>36.474757126845709</v>
      </c>
      <c r="F24" s="1">
        <f t="shared" si="11"/>
        <v>33.478214553667918</v>
      </c>
      <c r="G24" s="1">
        <f t="shared" si="12"/>
        <v>53.703249453203689</v>
      </c>
      <c r="H24" s="1">
        <f t="shared" si="13"/>
        <v>26.203359892635227</v>
      </c>
      <c r="I24" s="1">
        <f t="shared" si="14"/>
        <v>66.357785889176668</v>
      </c>
      <c r="J24" s="1">
        <f t="shared" si="15"/>
        <v>65.577537505672694</v>
      </c>
      <c r="K24" s="8"/>
    </row>
    <row r="25" spans="2:11" x14ac:dyDescent="0.2">
      <c r="B25">
        <v>23</v>
      </c>
      <c r="C25" s="1">
        <f t="shared" si="8"/>
        <v>30.843244694183777</v>
      </c>
      <c r="D25" s="1">
        <f t="shared" si="9"/>
        <v>61.115262019240049</v>
      </c>
      <c r="E25" s="1">
        <f t="shared" si="10"/>
        <v>37.871432952624374</v>
      </c>
      <c r="F25" s="1">
        <f t="shared" si="11"/>
        <v>33.680866492374101</v>
      </c>
      <c r="G25" s="1">
        <f t="shared" si="12"/>
        <v>54.954788312767711</v>
      </c>
      <c r="H25" s="1">
        <f t="shared" si="13"/>
        <v>26.738234211846379</v>
      </c>
      <c r="I25" s="1">
        <f t="shared" si="14"/>
        <v>67.829435703254333</v>
      </c>
      <c r="J25" s="1">
        <f t="shared" si="15"/>
        <v>68.560431425360278</v>
      </c>
      <c r="K25" s="8"/>
    </row>
    <row r="26" spans="2:11" x14ac:dyDescent="0.2">
      <c r="B26">
        <v>24</v>
      </c>
      <c r="C26" s="1">
        <f t="shared" si="8"/>
        <v>31.496955682332519</v>
      </c>
      <c r="D26" s="1">
        <f t="shared" si="9"/>
        <v>63.031860210080715</v>
      </c>
      <c r="E26" s="1">
        <f t="shared" si="10"/>
        <v>39.258001592112592</v>
      </c>
      <c r="F26" s="1">
        <f t="shared" si="11"/>
        <v>33.854609007866095</v>
      </c>
      <c r="G26" s="1">
        <f t="shared" si="12"/>
        <v>56.179028333728304</v>
      </c>
      <c r="H26" s="1">
        <f t="shared" si="13"/>
        <v>27.260055284269416</v>
      </c>
      <c r="I26" s="1">
        <f t="shared" si="14"/>
        <v>69.200111275362417</v>
      </c>
      <c r="J26" s="1">
        <f t="shared" si="15"/>
        <v>71.528836369920953</v>
      </c>
      <c r="K26" s="8"/>
    </row>
    <row r="27" spans="2:11" x14ac:dyDescent="0.2">
      <c r="B27">
        <v>25</v>
      </c>
      <c r="C27" s="1">
        <f t="shared" si="8"/>
        <v>32.126165454104864</v>
      </c>
      <c r="D27" s="1">
        <f t="shared" si="9"/>
        <v>64.926384329963611</v>
      </c>
      <c r="E27" s="1">
        <f t="shared" si="10"/>
        <v>40.634897196935384</v>
      </c>
      <c r="F27" s="1">
        <f t="shared" si="11"/>
        <v>34.003543084990874</v>
      </c>
      <c r="G27" s="1">
        <f t="shared" si="12"/>
        <v>57.377583721724911</v>
      </c>
      <c r="H27" s="1">
        <f t="shared" si="13"/>
        <v>27.769636159085064</v>
      </c>
      <c r="I27" s="1">
        <f t="shared" si="14"/>
        <v>70.476192587050548</v>
      </c>
      <c r="J27" s="1">
        <f t="shared" si="15"/>
        <v>74.482222103545837</v>
      </c>
      <c r="K27" s="8"/>
    </row>
    <row r="28" spans="2:11" x14ac:dyDescent="0.2">
      <c r="B28">
        <v>26</v>
      </c>
      <c r="C28" s="1">
        <f t="shared" si="8"/>
        <v>32.732065518465667</v>
      </c>
      <c r="D28" s="1">
        <f t="shared" si="9"/>
        <v>66.799938661480397</v>
      </c>
      <c r="E28" s="1">
        <f t="shared" si="10"/>
        <v>42.002517116422148</v>
      </c>
      <c r="F28" s="1">
        <f t="shared" si="11"/>
        <v>34.131194256001535</v>
      </c>
      <c r="G28" s="1">
        <f t="shared" si="12"/>
        <v>58.551911584505582</v>
      </c>
      <c r="H28" s="1">
        <f t="shared" si="13"/>
        <v>28.267708580085259</v>
      </c>
      <c r="I28" s="1">
        <f t="shared" si="14"/>
        <v>71.663748757608332</v>
      </c>
      <c r="J28" s="1">
        <f t="shared" si="15"/>
        <v>77.42011518478111</v>
      </c>
      <c r="K28" s="8"/>
    </row>
    <row r="29" spans="2:11" x14ac:dyDescent="0.2">
      <c r="B29">
        <v>27</v>
      </c>
      <c r="C29" s="1">
        <f t="shared" si="8"/>
        <v>33.315761422707972</v>
      </c>
      <c r="D29" s="1">
        <f t="shared" si="9"/>
        <v>68.653531568194495</v>
      </c>
      <c r="E29" s="1">
        <f t="shared" si="10"/>
        <v>43.36122632780932</v>
      </c>
      <c r="F29" s="1">
        <f t="shared" si="11"/>
        <v>34.240591611166927</v>
      </c>
      <c r="G29" s="1">
        <f t="shared" si="12"/>
        <v>59.703332673183347</v>
      </c>
      <c r="H29" s="1">
        <f t="shared" si="13"/>
        <v>28.754933919308236</v>
      </c>
      <c r="I29" s="1">
        <f t="shared" si="14"/>
        <v>72.76853565514439</v>
      </c>
      <c r="J29" s="1">
        <f t="shared" si="15"/>
        <v>80.342092677163819</v>
      </c>
      <c r="K29" s="8"/>
    </row>
    <row r="30" spans="2:11" x14ac:dyDescent="0.2">
      <c r="B30">
        <v>28</v>
      </c>
      <c r="C30" s="1">
        <f t="shared" si="8"/>
        <v>33.878281979107825</v>
      </c>
      <c r="D30" s="1">
        <f t="shared" si="9"/>
        <v>70.488087064067813</v>
      </c>
      <c r="E30" s="1">
        <f t="shared" si="10"/>
        <v>44.711361188413434</v>
      </c>
      <c r="F30" s="1">
        <f t="shared" si="11"/>
        <v>34.334336449587802</v>
      </c>
      <c r="G30" s="1">
        <f t="shared" si="12"/>
        <v>60.8330487209887</v>
      </c>
      <c r="H30" s="1">
        <f t="shared" si="13"/>
        <v>29.231912292016123</v>
      </c>
      <c r="I30" s="1">
        <f t="shared" si="14"/>
        <v>73.795997968896131</v>
      </c>
      <c r="J30" s="1">
        <f t="shared" si="15"/>
        <v>83.247776747741241</v>
      </c>
      <c r="K30" s="8"/>
    </row>
    <row r="31" spans="2:11" x14ac:dyDescent="0.2">
      <c r="B31">
        <v>29</v>
      </c>
      <c r="C31" s="1">
        <f t="shared" si="8"/>
        <v>34.420587163131607</v>
      </c>
      <c r="D31" s="1">
        <f t="shared" si="9"/>
        <v>72.304454624956549</v>
      </c>
      <c r="E31" s="1">
        <f t="shared" si="10"/>
        <v>46.053232634085525</v>
      </c>
      <c r="F31" s="1">
        <f t="shared" si="11"/>
        <v>34.414661786672298</v>
      </c>
      <c r="G31" s="1">
        <f t="shared" si="12"/>
        <v>61.942157038788196</v>
      </c>
      <c r="H31" s="1">
        <f t="shared" si="13"/>
        <v>29.69919020932614</v>
      </c>
      <c r="I31" s="1">
        <f t="shared" si="14"/>
        <v>74.751274629721394</v>
      </c>
      <c r="J31" s="1">
        <f t="shared" si="15"/>
        <v>86.13683000025614</v>
      </c>
      <c r="K31" s="8"/>
    </row>
    <row r="32" spans="2:11" x14ac:dyDescent="0.2">
      <c r="B32">
        <v>30</v>
      </c>
      <c r="C32" s="1">
        <f t="shared" si="8"/>
        <v>34.943574917555338</v>
      </c>
      <c r="D32" s="1">
        <f t="shared" si="9"/>
        <v>74.10341756057079</v>
      </c>
      <c r="E32" s="1">
        <f t="shared" si="10"/>
        <v>47.387128921962749</v>
      </c>
      <c r="F32" s="1">
        <f t="shared" si="11"/>
        <v>34.483483835636193</v>
      </c>
      <c r="G32" s="1">
        <f t="shared" si="12"/>
        <v>63.0316628806574</v>
      </c>
      <c r="H32" s="1">
        <f t="shared" si="13"/>
        <v>30.157267045179996</v>
      </c>
      <c r="I32" s="1">
        <f t="shared" si="14"/>
        <v>75.639206704810377</v>
      </c>
      <c r="J32" s="1">
        <f t="shared" si="15"/>
        <v>89.008951420695638</v>
      </c>
      <c r="K32" s="8"/>
    </row>
    <row r="43" spans="14:31" x14ac:dyDescent="0.2">
      <c r="U43" s="1"/>
      <c r="AE43" s="1"/>
    </row>
    <row r="44" spans="14:31" x14ac:dyDescent="0.2">
      <c r="U44" s="1"/>
      <c r="AE44" s="1"/>
    </row>
    <row r="45" spans="14:31" x14ac:dyDescent="0.2">
      <c r="U45" s="1"/>
      <c r="AB45" s="3"/>
      <c r="AE45" s="1"/>
    </row>
    <row r="46" spans="14:31" x14ac:dyDescent="0.2">
      <c r="N46" s="3"/>
      <c r="Q46" s="3"/>
      <c r="R46" s="3"/>
      <c r="S46" s="3"/>
      <c r="U46" s="1"/>
      <c r="X46" s="3"/>
      <c r="AE46" s="1"/>
    </row>
    <row r="47" spans="14:31" x14ac:dyDescent="0.2">
      <c r="O47" s="3"/>
      <c r="T47" s="3"/>
      <c r="U47" s="1"/>
      <c r="Y47" s="3"/>
      <c r="AC47" s="3"/>
      <c r="AE47" s="1"/>
    </row>
    <row r="48" spans="14:31" x14ac:dyDescent="0.2">
      <c r="N48" s="3"/>
      <c r="P48" s="3"/>
      <c r="R48" s="3"/>
      <c r="S48" s="3"/>
      <c r="U48" s="1"/>
      <c r="AA48" s="3"/>
      <c r="AB48" s="3"/>
      <c r="AE48" s="1"/>
    </row>
    <row r="49" spans="4:31" x14ac:dyDescent="0.2">
      <c r="O49" s="3"/>
      <c r="U49" s="1"/>
      <c r="X49" s="3"/>
      <c r="Z49" s="3"/>
      <c r="AE49" s="1"/>
    </row>
    <row r="50" spans="4:31" x14ac:dyDescent="0.2">
      <c r="R50" s="3"/>
      <c r="U50" s="1"/>
      <c r="AB50" s="3"/>
      <c r="AE50" s="1"/>
    </row>
    <row r="51" spans="4:31" x14ac:dyDescent="0.2">
      <c r="P51" s="3"/>
      <c r="U51" s="1"/>
      <c r="X51" s="3"/>
      <c r="Y51" s="3"/>
      <c r="AE51" s="1"/>
    </row>
    <row r="52" spans="4:31" x14ac:dyDescent="0.2">
      <c r="Q52" s="3"/>
      <c r="U52" s="1"/>
      <c r="Z52" s="3"/>
      <c r="AA52" s="3"/>
      <c r="AE52" s="1"/>
    </row>
    <row r="59" spans="4:31" x14ac:dyDescent="0.2">
      <c r="D59">
        <v>365</v>
      </c>
      <c r="E59">
        <v>15.5</v>
      </c>
      <c r="F59">
        <f>E59/10</f>
        <v>1.55</v>
      </c>
    </row>
    <row r="60" spans="4:31" x14ac:dyDescent="0.2">
      <c r="D60">
        <f>D59+$D$59</f>
        <v>730</v>
      </c>
      <c r="E60">
        <v>31.1</v>
      </c>
      <c r="F60">
        <f>E60/10</f>
        <v>3.1100000000000003</v>
      </c>
      <c r="G60" s="1">
        <f>F60/720*D60</f>
        <v>3.1531944444444449</v>
      </c>
      <c r="H60" s="8">
        <f>G60/2</f>
        <v>1.5765972222222224</v>
      </c>
    </row>
    <row r="61" spans="4:31" x14ac:dyDescent="0.2">
      <c r="F61">
        <f>AVERAGE(F59:F60)</f>
        <v>2.33</v>
      </c>
    </row>
    <row r="69" spans="12:13" x14ac:dyDescent="0.2">
      <c r="L69">
        <v>28.36</v>
      </c>
    </row>
    <row r="70" spans="12:13" x14ac:dyDescent="0.2">
      <c r="L70">
        <v>29.01</v>
      </c>
    </row>
    <row r="71" spans="12:13" x14ac:dyDescent="0.2">
      <c r="L71">
        <v>30.02</v>
      </c>
    </row>
    <row r="72" spans="12:13" x14ac:dyDescent="0.2">
      <c r="L72">
        <f>AVERAGE(L69:L71)</f>
        <v>29.13</v>
      </c>
      <c r="M72">
        <f>L72/21</f>
        <v>1.387142857142857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5349-92B0-457F-9F3B-C1A6DAA67814}">
  <sheetPr>
    <tabColor theme="0" tint="-0.249977111117893"/>
  </sheetPr>
  <dimension ref="A1:X29"/>
  <sheetViews>
    <sheetView showGridLines="0" tabSelected="1" workbookViewId="0">
      <selection activeCell="C10" sqref="C10"/>
    </sheetView>
  </sheetViews>
  <sheetFormatPr baseColWidth="10" defaultColWidth="8.83203125" defaultRowHeight="15" x14ac:dyDescent="0.2"/>
  <cols>
    <col min="1" max="1" width="5.6640625" customWidth="1"/>
    <col min="2" max="2" width="8.83203125" customWidth="1"/>
    <col min="3" max="3" width="63.83203125" customWidth="1"/>
    <col min="14" max="14" width="11.1640625" customWidth="1"/>
    <col min="15" max="15" width="14.83203125" customWidth="1"/>
  </cols>
  <sheetData>
    <row r="1" spans="1:19" x14ac:dyDescent="0.2">
      <c r="A1" s="87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3" spans="1:19" ht="33.5" customHeight="1" x14ac:dyDescent="0.2"/>
    <row r="5" spans="1:19" x14ac:dyDescent="0.2">
      <c r="N5" s="76" t="s">
        <v>93</v>
      </c>
      <c r="O5" s="150">
        <v>1.3</v>
      </c>
    </row>
    <row r="6" spans="1:19" x14ac:dyDescent="0.2">
      <c r="N6" s="76" t="s">
        <v>94</v>
      </c>
      <c r="O6" s="156" t="s">
        <v>123</v>
      </c>
    </row>
    <row r="7" spans="1:19" x14ac:dyDescent="0.2">
      <c r="B7" s="162" t="s">
        <v>119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9" x14ac:dyDescent="0.2">
      <c r="B8" s="152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9" x14ac:dyDescent="0.2">
      <c r="B9" s="153"/>
      <c r="C9" s="154" t="s">
        <v>120</v>
      </c>
      <c r="D9" s="151"/>
      <c r="E9" s="151"/>
      <c r="F9" s="151"/>
      <c r="G9" s="151"/>
      <c r="H9" s="151"/>
      <c r="I9" s="151"/>
      <c r="J9" s="151"/>
      <c r="K9" s="151"/>
      <c r="L9" s="151"/>
    </row>
    <row r="11" spans="1:19" x14ac:dyDescent="0.2">
      <c r="B11" t="s">
        <v>63</v>
      </c>
    </row>
    <row r="13" spans="1:19" x14ac:dyDescent="0.2">
      <c r="B13" t="s">
        <v>82</v>
      </c>
    </row>
    <row r="15" spans="1:19" x14ac:dyDescent="0.2">
      <c r="B15" s="157" t="s">
        <v>127</v>
      </c>
    </row>
    <row r="16" spans="1:19" x14ac:dyDescent="0.2">
      <c r="B16" s="158" t="s">
        <v>128</v>
      </c>
      <c r="C16" t="s">
        <v>129</v>
      </c>
    </row>
    <row r="17" spans="2:24" x14ac:dyDescent="0.2">
      <c r="B17" s="159">
        <v>1</v>
      </c>
      <c r="C17" t="s">
        <v>138</v>
      </c>
    </row>
    <row r="18" spans="2:24" x14ac:dyDescent="0.2">
      <c r="B18" s="159">
        <v>2</v>
      </c>
      <c r="C18" t="s">
        <v>139</v>
      </c>
    </row>
    <row r="19" spans="2:24" x14ac:dyDescent="0.2">
      <c r="B19" s="159">
        <v>3</v>
      </c>
      <c r="C19" t="s">
        <v>140</v>
      </c>
    </row>
    <row r="20" spans="2:24" x14ac:dyDescent="0.2">
      <c r="B20" s="158" t="s">
        <v>131</v>
      </c>
      <c r="C20" t="s">
        <v>130</v>
      </c>
    </row>
    <row r="21" spans="2:24" x14ac:dyDescent="0.2">
      <c r="B21" s="159">
        <v>1</v>
      </c>
      <c r="C21" t="s">
        <v>141</v>
      </c>
    </row>
    <row r="22" spans="2:24" x14ac:dyDescent="0.2">
      <c r="B22" s="158" t="s">
        <v>133</v>
      </c>
      <c r="C22" t="s">
        <v>132</v>
      </c>
    </row>
    <row r="23" spans="2:24" x14ac:dyDescent="0.2">
      <c r="B23" s="159">
        <v>1</v>
      </c>
      <c r="C23" t="s">
        <v>134</v>
      </c>
    </row>
    <row r="24" spans="2:24" ht="16" x14ac:dyDescent="0.2">
      <c r="B24" s="66" t="s">
        <v>137</v>
      </c>
      <c r="C24" s="4" t="s">
        <v>135</v>
      </c>
    </row>
    <row r="25" spans="2:24" ht="16" x14ac:dyDescent="0.2">
      <c r="B25">
        <v>1</v>
      </c>
      <c r="C25" s="4" t="s">
        <v>136</v>
      </c>
    </row>
    <row r="26" spans="2:24" x14ac:dyDescent="0.2">
      <c r="C26" s="4"/>
    </row>
    <row r="27" spans="2:24" ht="14.5" customHeight="1" x14ac:dyDescent="0.2">
      <c r="B27" t="s">
        <v>64</v>
      </c>
      <c r="S27" s="148"/>
      <c r="T27" s="148"/>
      <c r="U27" s="148"/>
      <c r="V27" s="148"/>
      <c r="W27" s="148"/>
      <c r="X27" s="148"/>
    </row>
    <row r="29" spans="2:24" ht="47" customHeight="1" x14ac:dyDescent="0.2">
      <c r="B29" s="161" t="s">
        <v>83</v>
      </c>
      <c r="C29" s="161"/>
      <c r="D29" s="161"/>
      <c r="E29" s="161"/>
      <c r="F29" s="161"/>
      <c r="G29" s="161"/>
      <c r="H29" s="161"/>
      <c r="I29" s="161"/>
      <c r="J29" s="161"/>
      <c r="K29" s="141"/>
      <c r="N29" s="160" t="s">
        <v>115</v>
      </c>
      <c r="O29" s="160"/>
      <c r="P29" s="160"/>
      <c r="Q29" s="160"/>
      <c r="R29" s="160"/>
    </row>
  </sheetData>
  <mergeCells count="3">
    <mergeCell ref="N29:R29"/>
    <mergeCell ref="B29:J29"/>
    <mergeCell ref="B7:L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K52"/>
  <sheetViews>
    <sheetView showGridLines="0" zoomScaleNormal="100" workbookViewId="0">
      <selection activeCell="B17" sqref="B17"/>
    </sheetView>
  </sheetViews>
  <sheetFormatPr baseColWidth="10" defaultColWidth="11.5" defaultRowHeight="15" x14ac:dyDescent="0.2"/>
  <cols>
    <col min="1" max="1" width="5.6640625" customWidth="1"/>
    <col min="2" max="2" width="47.6640625" bestFit="1" customWidth="1"/>
    <col min="4" max="4" width="15.83203125" customWidth="1"/>
    <col min="11" max="11" width="15.6640625" bestFit="1" customWidth="1"/>
  </cols>
  <sheetData>
    <row r="1" spans="1:6" x14ac:dyDescent="0.2">
      <c r="A1" s="101">
        <v>1</v>
      </c>
      <c r="B1" s="75" t="s">
        <v>84</v>
      </c>
      <c r="C1" s="37"/>
      <c r="D1" s="37"/>
      <c r="E1" s="37"/>
      <c r="F1" s="37"/>
    </row>
    <row r="2" spans="1:6" x14ac:dyDescent="0.2">
      <c r="A2" s="37"/>
      <c r="B2" s="37"/>
      <c r="C2" s="37"/>
      <c r="D2" s="37"/>
      <c r="E2" s="37"/>
      <c r="F2" s="37"/>
    </row>
    <row r="3" spans="1:6" x14ac:dyDescent="0.2">
      <c r="B3" s="76" t="s">
        <v>85</v>
      </c>
      <c r="C3" s="76" t="s">
        <v>44</v>
      </c>
      <c r="D3" s="76" t="s">
        <v>14</v>
      </c>
    </row>
    <row r="4" spans="1:6" x14ac:dyDescent="0.2">
      <c r="B4" t="s">
        <v>110</v>
      </c>
      <c r="C4" s="72">
        <v>1</v>
      </c>
      <c r="D4" t="s">
        <v>36</v>
      </c>
    </row>
    <row r="5" spans="1:6" x14ac:dyDescent="0.2">
      <c r="B5" t="s">
        <v>113</v>
      </c>
      <c r="C5" s="72">
        <v>2</v>
      </c>
      <c r="D5" t="s">
        <v>36</v>
      </c>
    </row>
    <row r="6" spans="1:6" x14ac:dyDescent="0.2">
      <c r="B6" t="s">
        <v>111</v>
      </c>
      <c r="C6" s="72">
        <v>3</v>
      </c>
      <c r="D6" t="s">
        <v>36</v>
      </c>
    </row>
    <row r="7" spans="1:6" x14ac:dyDescent="0.2">
      <c r="B7" t="s">
        <v>114</v>
      </c>
      <c r="C7" s="72">
        <v>4</v>
      </c>
      <c r="D7" t="s">
        <v>36</v>
      </c>
    </row>
    <row r="8" spans="1:6" x14ac:dyDescent="0.2">
      <c r="B8" t="s">
        <v>112</v>
      </c>
      <c r="C8" s="72">
        <v>5</v>
      </c>
      <c r="D8" t="s">
        <v>36</v>
      </c>
    </row>
    <row r="10" spans="1:6" x14ac:dyDescent="0.2">
      <c r="B10" s="34" t="s">
        <v>96</v>
      </c>
    </row>
    <row r="14" spans="1:6" ht="47.25" customHeight="1" x14ac:dyDescent="0.2"/>
    <row r="17" spans="10:11" ht="41.25" customHeight="1" x14ac:dyDescent="0.2">
      <c r="K17" s="4"/>
    </row>
    <row r="19" spans="10:11" x14ac:dyDescent="0.2">
      <c r="K19" s="9"/>
    </row>
    <row r="31" spans="10:11" x14ac:dyDescent="0.2">
      <c r="J31" s="1"/>
    </row>
    <row r="32" spans="10:11" x14ac:dyDescent="0.2">
      <c r="J32" s="1"/>
    </row>
    <row r="33" spans="10:10" x14ac:dyDescent="0.2">
      <c r="J33" s="1"/>
    </row>
    <row r="34" spans="10:10" x14ac:dyDescent="0.2">
      <c r="J34" s="1"/>
    </row>
    <row r="35" spans="10:10" x14ac:dyDescent="0.2">
      <c r="J35" s="1"/>
    </row>
    <row r="36" spans="10:10" x14ac:dyDescent="0.2">
      <c r="J36" s="1"/>
    </row>
    <row r="37" spans="10:10" x14ac:dyDescent="0.2">
      <c r="J37" s="1"/>
    </row>
    <row r="38" spans="10:10" x14ac:dyDescent="0.2">
      <c r="J38" s="1"/>
    </row>
    <row r="39" spans="10:10" x14ac:dyDescent="0.2">
      <c r="J39" s="1"/>
    </row>
    <row r="40" spans="10:10" x14ac:dyDescent="0.2">
      <c r="J40" s="1"/>
    </row>
    <row r="41" spans="10:10" x14ac:dyDescent="0.2">
      <c r="J41" s="1"/>
    </row>
    <row r="42" spans="10:10" x14ac:dyDescent="0.2">
      <c r="J42" s="1"/>
    </row>
    <row r="43" spans="10:10" x14ac:dyDescent="0.2">
      <c r="J43" s="1"/>
    </row>
    <row r="44" spans="10:10" x14ac:dyDescent="0.2">
      <c r="J44" s="1"/>
    </row>
    <row r="45" spans="10:10" x14ac:dyDescent="0.2">
      <c r="J45" s="1"/>
    </row>
    <row r="46" spans="10:10" x14ac:dyDescent="0.2">
      <c r="J46" s="1"/>
    </row>
    <row r="47" spans="10:10" x14ac:dyDescent="0.2">
      <c r="J47" s="1"/>
    </row>
    <row r="48" spans="10:10" x14ac:dyDescent="0.2">
      <c r="J48" s="1"/>
    </row>
    <row r="49" spans="10:10" x14ac:dyDescent="0.2">
      <c r="J49" s="1"/>
    </row>
    <row r="50" spans="10:10" x14ac:dyDescent="0.2">
      <c r="J50" s="1"/>
    </row>
    <row r="51" spans="10:10" x14ac:dyDescent="0.2">
      <c r="J51" s="1"/>
    </row>
    <row r="52" spans="10:10" x14ac:dyDescent="0.2">
      <c r="J52" s="1"/>
    </row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667937-C755-45EF-ABC6-C6F169A11825}">
          <x14:formula1>
            <xm:f>'A. List'!$B$43:$B$49</xm:f>
          </x14:formula1>
          <xm:sqref>C4:C8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W72"/>
  <sheetViews>
    <sheetView showGridLines="0" zoomScaleNormal="100" workbookViewId="0">
      <selection activeCell="I4" sqref="I4"/>
    </sheetView>
  </sheetViews>
  <sheetFormatPr baseColWidth="10" defaultColWidth="11.5" defaultRowHeight="15" x14ac:dyDescent="0.2"/>
  <cols>
    <col min="1" max="1" width="5.6640625" customWidth="1"/>
    <col min="2" max="2" width="6" customWidth="1"/>
    <col min="3" max="3" width="5.1640625" customWidth="1"/>
    <col min="4" max="7" width="10.5" bestFit="1" customWidth="1"/>
    <col min="8" max="8" width="10.5" customWidth="1"/>
    <col min="9" max="9" width="14.5" customWidth="1"/>
    <col min="10" max="10" width="4.83203125" customWidth="1"/>
    <col min="11" max="13" width="10.5" bestFit="1" customWidth="1"/>
    <col min="14" max="14" width="9.1640625" customWidth="1"/>
    <col min="15" max="15" width="10.5" customWidth="1"/>
    <col min="16" max="16" width="13.1640625" customWidth="1"/>
    <col min="17" max="17" width="4.6640625" customWidth="1"/>
    <col min="18" max="21" width="10.5" bestFit="1" customWidth="1"/>
    <col min="22" max="22" width="10.5" customWidth="1"/>
    <col min="23" max="23" width="13.83203125" customWidth="1"/>
  </cols>
  <sheetData>
    <row r="1" spans="1:23" x14ac:dyDescent="0.2">
      <c r="A1" s="100">
        <v>2</v>
      </c>
      <c r="B1" s="164" t="s">
        <v>55</v>
      </c>
      <c r="C1" s="164"/>
      <c r="D1" s="164"/>
      <c r="E1" s="164"/>
      <c r="F1" s="164"/>
    </row>
    <row r="2" spans="1:23" s="19" customFormat="1" x14ac:dyDescent="0.2">
      <c r="A2" s="120"/>
      <c r="B2" s="120"/>
      <c r="C2" s="120"/>
      <c r="D2" s="120"/>
      <c r="E2" s="120"/>
      <c r="F2" s="120"/>
    </row>
    <row r="3" spans="1:23" x14ac:dyDescent="0.2">
      <c r="D3" s="118" t="s">
        <v>110</v>
      </c>
      <c r="E3" s="74"/>
      <c r="F3" s="74"/>
      <c r="G3" s="33"/>
      <c r="H3" s="33"/>
      <c r="I3" s="33" t="s">
        <v>46</v>
      </c>
      <c r="K3" s="118" t="s">
        <v>111</v>
      </c>
      <c r="L3" s="119"/>
      <c r="M3" s="119"/>
      <c r="P3" s="33" t="s">
        <v>46</v>
      </c>
      <c r="R3" s="118" t="s">
        <v>112</v>
      </c>
      <c r="S3" s="119"/>
      <c r="T3" s="119"/>
      <c r="W3" s="33" t="s">
        <v>46</v>
      </c>
    </row>
    <row r="4" spans="1:23" ht="14" customHeight="1" x14ac:dyDescent="0.2">
      <c r="D4" s="71" t="s">
        <v>45</v>
      </c>
      <c r="E4" s="71"/>
      <c r="F4" s="71"/>
      <c r="G4" s="166"/>
      <c r="H4" s="166"/>
      <c r="I4" s="89">
        <v>3000</v>
      </c>
      <c r="K4" s="165"/>
      <c r="L4" s="165"/>
      <c r="M4" s="165"/>
      <c r="N4" s="165"/>
      <c r="O4" s="70"/>
      <c r="P4" s="89">
        <v>5000</v>
      </c>
      <c r="R4" s="165"/>
      <c r="S4" s="165"/>
      <c r="T4" s="165"/>
      <c r="U4" s="165"/>
      <c r="V4" s="70"/>
      <c r="W4" s="89">
        <v>10000</v>
      </c>
    </row>
    <row r="5" spans="1:23" ht="16" x14ac:dyDescent="0.2">
      <c r="B5" s="73" t="s">
        <v>9</v>
      </c>
      <c r="C5" s="118"/>
      <c r="D5" s="33">
        <v>1</v>
      </c>
      <c r="E5" s="33">
        <f>+D5+1</f>
        <v>2</v>
      </c>
      <c r="F5" s="33">
        <f>+E5+1</f>
        <v>3</v>
      </c>
      <c r="G5" s="33">
        <f>+F5+1</f>
        <v>4</v>
      </c>
      <c r="H5" s="33">
        <f>+G5+1</f>
        <v>5</v>
      </c>
      <c r="I5" s="66" t="s">
        <v>41</v>
      </c>
      <c r="J5" s="118"/>
      <c r="K5" s="33">
        <f>D5</f>
        <v>1</v>
      </c>
      <c r="L5" s="33">
        <f t="shared" ref="L5:O5" si="0">E5</f>
        <v>2</v>
      </c>
      <c r="M5" s="33">
        <f t="shared" si="0"/>
        <v>3</v>
      </c>
      <c r="N5" s="33">
        <f t="shared" si="0"/>
        <v>4</v>
      </c>
      <c r="O5" s="33">
        <f t="shared" si="0"/>
        <v>5</v>
      </c>
      <c r="P5" s="66" t="s">
        <v>41</v>
      </c>
      <c r="Q5" s="118"/>
      <c r="R5">
        <f>+D5</f>
        <v>1</v>
      </c>
      <c r="S5">
        <f t="shared" ref="S5:V5" si="1">+E5</f>
        <v>2</v>
      </c>
      <c r="T5">
        <f t="shared" si="1"/>
        <v>3</v>
      </c>
      <c r="U5">
        <f t="shared" si="1"/>
        <v>4</v>
      </c>
      <c r="V5">
        <f t="shared" si="1"/>
        <v>5</v>
      </c>
      <c r="W5" s="66" t="s">
        <v>41</v>
      </c>
    </row>
    <row r="6" spans="1:23" x14ac:dyDescent="0.2">
      <c r="B6" s="102">
        <v>1</v>
      </c>
      <c r="C6" s="118"/>
      <c r="D6" s="103">
        <f>$I$4</f>
        <v>3000</v>
      </c>
      <c r="E6" s="40"/>
      <c r="F6" s="40"/>
      <c r="G6" s="40"/>
      <c r="H6" s="40"/>
      <c r="I6" s="40">
        <f>+SUM(D6:H6)</f>
        <v>3000</v>
      </c>
      <c r="J6" s="118"/>
      <c r="K6" s="103">
        <f>$P$4</f>
        <v>5000</v>
      </c>
      <c r="L6" s="40"/>
      <c r="M6" s="40"/>
      <c r="N6" s="40"/>
      <c r="O6" s="40"/>
      <c r="P6" s="40">
        <f>+SUM(K6:O6)</f>
        <v>5000</v>
      </c>
      <c r="Q6" s="118"/>
      <c r="R6" s="103">
        <f>$W$4</f>
        <v>10000</v>
      </c>
      <c r="S6" s="40"/>
      <c r="T6" s="40"/>
      <c r="U6" s="40"/>
      <c r="V6" s="40"/>
      <c r="W6" s="40">
        <f>+SUM(R6:V6)</f>
        <v>10000</v>
      </c>
    </row>
    <row r="7" spans="1:23" x14ac:dyDescent="0.2">
      <c r="B7" s="102">
        <v>2</v>
      </c>
      <c r="C7" s="118"/>
      <c r="D7" s="40">
        <f>D6*(1-'3. Cost-benefit analysis'!$D$9)</f>
        <v>2850</v>
      </c>
      <c r="E7" s="103">
        <f>$I$4</f>
        <v>3000</v>
      </c>
      <c r="F7" s="40"/>
      <c r="G7" s="40"/>
      <c r="H7" s="40"/>
      <c r="I7" s="40">
        <f>+SUM(D7:H7)</f>
        <v>5850</v>
      </c>
      <c r="J7" s="118"/>
      <c r="K7" s="40">
        <f>K6*(1-'3. Cost-benefit analysis'!$D$9)</f>
        <v>4750</v>
      </c>
      <c r="L7" s="103">
        <f>$P$4</f>
        <v>5000</v>
      </c>
      <c r="M7" s="40"/>
      <c r="N7" s="40"/>
      <c r="O7" s="40"/>
      <c r="P7" s="40">
        <f>+SUM(K7:O7)</f>
        <v>9750</v>
      </c>
      <c r="Q7" s="118"/>
      <c r="R7" s="40">
        <f>R6*(1-'3. Cost-benefit analysis'!$D$9)</f>
        <v>9500</v>
      </c>
      <c r="S7" s="103">
        <f>$W$4</f>
        <v>10000</v>
      </c>
      <c r="T7" s="40"/>
      <c r="U7" s="40"/>
      <c r="V7" s="40"/>
      <c r="W7" s="40">
        <f>+SUM(R7:V7)</f>
        <v>19500</v>
      </c>
    </row>
    <row r="8" spans="1:23" x14ac:dyDescent="0.2">
      <c r="B8" s="102">
        <v>3</v>
      </c>
      <c r="C8" s="118"/>
      <c r="D8" s="40">
        <f>D7*(1-'3. Cost-benefit analysis'!$D$9)</f>
        <v>2707.5</v>
      </c>
      <c r="E8" s="40">
        <f>E7*(1-'3. Cost-benefit analysis'!$D$9)</f>
        <v>2850</v>
      </c>
      <c r="F8" s="103">
        <f>$I$4</f>
        <v>3000</v>
      </c>
      <c r="G8" s="40"/>
      <c r="H8" s="40"/>
      <c r="I8" s="40">
        <f>+SUM(D8:H8)</f>
        <v>8557.5</v>
      </c>
      <c r="J8" s="118"/>
      <c r="K8" s="40">
        <f>K7*(1-'3. Cost-benefit analysis'!$D$9)</f>
        <v>4512.5</v>
      </c>
      <c r="L8" s="40">
        <f>L7*(1-'3. Cost-benefit analysis'!$D$9)</f>
        <v>4750</v>
      </c>
      <c r="M8" s="103">
        <f>$P$4</f>
        <v>5000</v>
      </c>
      <c r="N8" s="40"/>
      <c r="O8" s="40"/>
      <c r="P8" s="40">
        <f>+SUM(K8:O8)</f>
        <v>14262.5</v>
      </c>
      <c r="Q8" s="118"/>
      <c r="R8" s="40">
        <f>R7*(1-'3. Cost-benefit analysis'!$D$9)</f>
        <v>9025</v>
      </c>
      <c r="S8" s="40">
        <f>S7*(1-'3. Cost-benefit analysis'!$D$9)</f>
        <v>9500</v>
      </c>
      <c r="T8" s="103">
        <f>$W$4</f>
        <v>10000</v>
      </c>
      <c r="U8" s="40"/>
      <c r="V8" s="40"/>
      <c r="W8" s="40">
        <f>+SUM(R8:V8)</f>
        <v>28525</v>
      </c>
    </row>
    <row r="9" spans="1:23" x14ac:dyDescent="0.2">
      <c r="B9" s="102">
        <v>4</v>
      </c>
      <c r="C9" s="118"/>
      <c r="D9" s="40">
        <f>D8*(1-'3. Cost-benefit analysis'!$D$9)</f>
        <v>2572.125</v>
      </c>
      <c r="E9" s="40">
        <f>E8*(1-'3. Cost-benefit analysis'!$D$9)</f>
        <v>2707.5</v>
      </c>
      <c r="F9" s="40">
        <f>F8*(1-'3. Cost-benefit analysis'!$D$9)</f>
        <v>2850</v>
      </c>
      <c r="G9" s="103">
        <f>$I$4</f>
        <v>3000</v>
      </c>
      <c r="H9" s="40"/>
      <c r="I9" s="40">
        <f>+SUM(D9:H9)</f>
        <v>11129.625</v>
      </c>
      <c r="J9" s="118"/>
      <c r="K9" s="40">
        <f>K8*(1-'3. Cost-benefit analysis'!$D$9)</f>
        <v>4286.875</v>
      </c>
      <c r="L9" s="40">
        <f>L8*(1-'3. Cost-benefit analysis'!$D$9)</f>
        <v>4512.5</v>
      </c>
      <c r="M9" s="40">
        <f>M8*(1-'3. Cost-benefit analysis'!$D$9)</f>
        <v>4750</v>
      </c>
      <c r="N9" s="103">
        <f>$P$4</f>
        <v>5000</v>
      </c>
      <c r="O9" s="40"/>
      <c r="P9" s="40">
        <f>+SUM(K9:O9)</f>
        <v>18549.375</v>
      </c>
      <c r="Q9" s="118"/>
      <c r="R9" s="40">
        <f>R8*(1-'3. Cost-benefit analysis'!$D$9)</f>
        <v>8573.75</v>
      </c>
      <c r="S9" s="40">
        <f>S8*(1-'3. Cost-benefit analysis'!$D$9)</f>
        <v>9025</v>
      </c>
      <c r="T9" s="40">
        <f>T8*(1-'3. Cost-benefit analysis'!$D$9)</f>
        <v>9500</v>
      </c>
      <c r="U9" s="103">
        <f>$W$4</f>
        <v>10000</v>
      </c>
      <c r="V9" s="40"/>
      <c r="W9" s="40">
        <f>+SUM(R9:V9)</f>
        <v>37098.75</v>
      </c>
    </row>
    <row r="10" spans="1:23" x14ac:dyDescent="0.2">
      <c r="B10" s="102">
        <v>5</v>
      </c>
      <c r="C10" s="118"/>
      <c r="D10" s="40">
        <f>D9*(1-'3. Cost-benefit analysis'!$D$9)</f>
        <v>2443.5187499999997</v>
      </c>
      <c r="E10" s="40">
        <f>E9*(1-'3. Cost-benefit analysis'!$D$9)</f>
        <v>2572.125</v>
      </c>
      <c r="F10" s="40">
        <f>F9*(1-'3. Cost-benefit analysis'!$D$9)</f>
        <v>2707.5</v>
      </c>
      <c r="G10" s="40">
        <f>G9*(1-'3. Cost-benefit analysis'!$D$9)</f>
        <v>2850</v>
      </c>
      <c r="H10" s="103">
        <f>$I$4</f>
        <v>3000</v>
      </c>
      <c r="I10" s="40">
        <f t="shared" ref="I10:I20" si="2">+SUM(D10:H10)</f>
        <v>13573.143749999999</v>
      </c>
      <c r="J10" s="118"/>
      <c r="K10" s="40">
        <f>K9*(1-'3. Cost-benefit analysis'!$D$9)</f>
        <v>4072.53125</v>
      </c>
      <c r="L10" s="40">
        <f>L9*(1-'3. Cost-benefit analysis'!$D$9)</f>
        <v>4286.875</v>
      </c>
      <c r="M10" s="40">
        <f>M9*(1-'3. Cost-benefit analysis'!$D$9)</f>
        <v>4512.5</v>
      </c>
      <c r="N10" s="40">
        <f>N9*(1-'3. Cost-benefit analysis'!$D$9)</f>
        <v>4750</v>
      </c>
      <c r="O10" s="103">
        <f>$P$4</f>
        <v>5000</v>
      </c>
      <c r="P10" s="40">
        <f t="shared" ref="P10:P20" si="3">+SUM(K10:O10)</f>
        <v>22621.90625</v>
      </c>
      <c r="Q10" s="118"/>
      <c r="R10" s="40">
        <f>R9*(1-'3. Cost-benefit analysis'!$D$9)</f>
        <v>8145.0625</v>
      </c>
      <c r="S10" s="40">
        <f>S9*(1-'3. Cost-benefit analysis'!$D$9)</f>
        <v>8573.75</v>
      </c>
      <c r="T10" s="40">
        <f>T9*(1-'3. Cost-benefit analysis'!$D$9)</f>
        <v>9025</v>
      </c>
      <c r="U10" s="40">
        <f>U9*(1-'3. Cost-benefit analysis'!$D$9)</f>
        <v>9500</v>
      </c>
      <c r="V10" s="103">
        <f>$W$4</f>
        <v>10000</v>
      </c>
      <c r="W10" s="40">
        <f t="shared" ref="W10:W20" si="4">+SUM(R10:V10)</f>
        <v>45243.8125</v>
      </c>
    </row>
    <row r="11" spans="1:23" x14ac:dyDescent="0.2">
      <c r="B11" s="102">
        <v>6</v>
      </c>
      <c r="C11" s="118"/>
      <c r="D11" s="40">
        <f>D10*(1-'3. Cost-benefit analysis'!$D$9)</f>
        <v>2321.3428124999996</v>
      </c>
      <c r="E11" s="40">
        <f>E10*(1-'3. Cost-benefit analysis'!$D$9)</f>
        <v>2443.5187499999997</v>
      </c>
      <c r="F11" s="40">
        <f>F10*(1-'3. Cost-benefit analysis'!$D$9)</f>
        <v>2572.125</v>
      </c>
      <c r="G11" s="40">
        <f>G10*(1-'3. Cost-benefit analysis'!$D$9)</f>
        <v>2707.5</v>
      </c>
      <c r="H11" s="40">
        <f>H10*(1-'3. Cost-benefit analysis'!$D$9)</f>
        <v>2850</v>
      </c>
      <c r="I11" s="40">
        <f t="shared" si="2"/>
        <v>12894.486562499998</v>
      </c>
      <c r="J11" s="118"/>
      <c r="K11" s="40">
        <f>K10*(1-'3. Cost-benefit analysis'!$D$9)</f>
        <v>3868.9046874999999</v>
      </c>
      <c r="L11" s="40">
        <f>L10*(1-'3. Cost-benefit analysis'!$D$9)</f>
        <v>4072.53125</v>
      </c>
      <c r="M11" s="40">
        <f>M10*(1-'3. Cost-benefit analysis'!$D$9)</f>
        <v>4286.875</v>
      </c>
      <c r="N11" s="40">
        <f>N10*(1-'3. Cost-benefit analysis'!$D$9)</f>
        <v>4512.5</v>
      </c>
      <c r="O11" s="40">
        <f>O10*(1-'3. Cost-benefit analysis'!$D$9)</f>
        <v>4750</v>
      </c>
      <c r="P11" s="40">
        <f t="shared" si="3"/>
        <v>21490.810937499999</v>
      </c>
      <c r="Q11" s="118"/>
      <c r="R11" s="40">
        <f>R10*(1-'3. Cost-benefit analysis'!$D$9)</f>
        <v>7737.8093749999998</v>
      </c>
      <c r="S11" s="40">
        <f>S10*(1-'3. Cost-benefit analysis'!$D$9)</f>
        <v>8145.0625</v>
      </c>
      <c r="T11" s="40">
        <f>T10*(1-'3. Cost-benefit analysis'!$D$9)</f>
        <v>8573.75</v>
      </c>
      <c r="U11" s="40">
        <f>U10*(1-'3. Cost-benefit analysis'!$D$9)</f>
        <v>9025</v>
      </c>
      <c r="V11" s="40">
        <f>V10*(1-'3. Cost-benefit analysis'!$D$9)</f>
        <v>9500</v>
      </c>
      <c r="W11" s="40">
        <f t="shared" si="4"/>
        <v>42981.621874999997</v>
      </c>
    </row>
    <row r="12" spans="1:23" x14ac:dyDescent="0.2">
      <c r="B12" s="102">
        <v>7</v>
      </c>
      <c r="C12" s="118"/>
      <c r="D12" s="40">
        <f>D11*(1-'3. Cost-benefit analysis'!$D$9)</f>
        <v>2205.2756718749997</v>
      </c>
      <c r="E12" s="40">
        <f>E11*(1-'3. Cost-benefit analysis'!$D$9)</f>
        <v>2321.3428124999996</v>
      </c>
      <c r="F12" s="40">
        <f>F11*(1-'3. Cost-benefit analysis'!$D$9)</f>
        <v>2443.5187499999997</v>
      </c>
      <c r="G12" s="40">
        <f>G11*(1-'3. Cost-benefit analysis'!$D$9)</f>
        <v>2572.125</v>
      </c>
      <c r="H12" s="40">
        <f>H11*(1-'3. Cost-benefit analysis'!$D$9)</f>
        <v>2707.5</v>
      </c>
      <c r="I12" s="40">
        <f t="shared" si="2"/>
        <v>12249.762234374999</v>
      </c>
      <c r="J12" s="118"/>
      <c r="K12" s="40">
        <f>K11*(1-'3. Cost-benefit analysis'!$D$9)</f>
        <v>3675.4594531249995</v>
      </c>
      <c r="L12" s="40">
        <f>L11*(1-'3. Cost-benefit analysis'!$D$9)</f>
        <v>3868.9046874999999</v>
      </c>
      <c r="M12" s="40">
        <f>M11*(1-'3. Cost-benefit analysis'!$D$9)</f>
        <v>4072.53125</v>
      </c>
      <c r="N12" s="40">
        <f>N11*(1-'3. Cost-benefit analysis'!$D$9)</f>
        <v>4286.875</v>
      </c>
      <c r="O12" s="40">
        <f>O11*(1-'3. Cost-benefit analysis'!$D$9)</f>
        <v>4512.5</v>
      </c>
      <c r="P12" s="40">
        <f t="shared" si="3"/>
        <v>20416.270390624999</v>
      </c>
      <c r="Q12" s="118"/>
      <c r="R12" s="40">
        <f>R11*(1-'3. Cost-benefit analysis'!$D$9)</f>
        <v>7350.9189062499991</v>
      </c>
      <c r="S12" s="40">
        <f>S11*(1-'3. Cost-benefit analysis'!$D$9)</f>
        <v>7737.8093749999998</v>
      </c>
      <c r="T12" s="40">
        <f>T11*(1-'3. Cost-benefit analysis'!$D$9)</f>
        <v>8145.0625</v>
      </c>
      <c r="U12" s="40">
        <f>U11*(1-'3. Cost-benefit analysis'!$D$9)</f>
        <v>8573.75</v>
      </c>
      <c r="V12" s="40">
        <f>V11*(1-'3. Cost-benefit analysis'!$D$9)</f>
        <v>9025</v>
      </c>
      <c r="W12" s="40">
        <f t="shared" si="4"/>
        <v>40832.540781249998</v>
      </c>
    </row>
    <row r="13" spans="1:23" x14ac:dyDescent="0.2">
      <c r="B13" s="102">
        <v>8</v>
      </c>
      <c r="C13" s="118"/>
      <c r="D13" s="40">
        <f>D12*(1-'3. Cost-benefit analysis'!$D$9)</f>
        <v>2095.0118882812494</v>
      </c>
      <c r="E13" s="40">
        <f>E12*(1-'3. Cost-benefit analysis'!$D$9)</f>
        <v>2205.2756718749997</v>
      </c>
      <c r="F13" s="40">
        <f>F12*(1-'3. Cost-benefit analysis'!$D$9)</f>
        <v>2321.3428124999996</v>
      </c>
      <c r="G13" s="40">
        <f>G12*(1-'3. Cost-benefit analysis'!$D$9)</f>
        <v>2443.5187499999997</v>
      </c>
      <c r="H13" s="40">
        <f>H12*(1-'3. Cost-benefit analysis'!$D$9)</f>
        <v>2572.125</v>
      </c>
      <c r="I13" s="40">
        <f t="shared" si="2"/>
        <v>11637.274122656248</v>
      </c>
      <c r="J13" s="118"/>
      <c r="K13" s="40">
        <f>K12*(1-'3. Cost-benefit analysis'!$D$9)</f>
        <v>3491.6864804687493</v>
      </c>
      <c r="L13" s="40">
        <f>L12*(1-'3. Cost-benefit analysis'!$D$9)</f>
        <v>3675.4594531249995</v>
      </c>
      <c r="M13" s="40">
        <f>M12*(1-'3. Cost-benefit analysis'!$D$9)</f>
        <v>3868.9046874999999</v>
      </c>
      <c r="N13" s="40">
        <f>N12*(1-'3. Cost-benefit analysis'!$D$9)</f>
        <v>4072.53125</v>
      </c>
      <c r="O13" s="40">
        <f>O12*(1-'3. Cost-benefit analysis'!$D$9)</f>
        <v>4286.875</v>
      </c>
      <c r="P13" s="40">
        <f t="shared" si="3"/>
        <v>19395.456871093749</v>
      </c>
      <c r="Q13" s="118"/>
      <c r="R13" s="40">
        <f>R12*(1-'3. Cost-benefit analysis'!$D$9)</f>
        <v>6983.3729609374986</v>
      </c>
      <c r="S13" s="40">
        <f>S12*(1-'3. Cost-benefit analysis'!$D$9)</f>
        <v>7350.9189062499991</v>
      </c>
      <c r="T13" s="40">
        <f>T12*(1-'3. Cost-benefit analysis'!$D$9)</f>
        <v>7737.8093749999998</v>
      </c>
      <c r="U13" s="40">
        <f>U12*(1-'3. Cost-benefit analysis'!$D$9)</f>
        <v>8145.0625</v>
      </c>
      <c r="V13" s="40">
        <f>V12*(1-'3. Cost-benefit analysis'!$D$9)</f>
        <v>8573.75</v>
      </c>
      <c r="W13" s="40">
        <f t="shared" si="4"/>
        <v>38790.913742187498</v>
      </c>
    </row>
    <row r="14" spans="1:23" x14ac:dyDescent="0.2">
      <c r="B14" s="102">
        <v>9</v>
      </c>
      <c r="C14" s="118"/>
      <c r="D14" s="40">
        <f>D13*(1-'3. Cost-benefit analysis'!$D$9)</f>
        <v>1990.2612938671869</v>
      </c>
      <c r="E14" s="40">
        <f>E13*(1-'3. Cost-benefit analysis'!$D$9)</f>
        <v>2095.0118882812494</v>
      </c>
      <c r="F14" s="40">
        <f>F13*(1-'3. Cost-benefit analysis'!$D$9)</f>
        <v>2205.2756718749997</v>
      </c>
      <c r="G14" s="40">
        <f>G13*(1-'3. Cost-benefit analysis'!$D$9)</f>
        <v>2321.3428124999996</v>
      </c>
      <c r="H14" s="40">
        <f>H13*(1-'3. Cost-benefit analysis'!$D$9)</f>
        <v>2443.5187499999997</v>
      </c>
      <c r="I14" s="40">
        <f t="shared" si="2"/>
        <v>11055.410416523435</v>
      </c>
      <c r="J14" s="118"/>
      <c r="K14" s="40">
        <f>K13*(1-'3. Cost-benefit analysis'!$D$9)</f>
        <v>3317.1021564453117</v>
      </c>
      <c r="L14" s="40">
        <f>L13*(1-'3. Cost-benefit analysis'!$D$9)</f>
        <v>3491.6864804687493</v>
      </c>
      <c r="M14" s="40">
        <f>M13*(1-'3. Cost-benefit analysis'!$D$9)</f>
        <v>3675.4594531249995</v>
      </c>
      <c r="N14" s="40">
        <f>N13*(1-'3. Cost-benefit analysis'!$D$9)</f>
        <v>3868.9046874999999</v>
      </c>
      <c r="O14" s="40">
        <f>O13*(1-'3. Cost-benefit analysis'!$D$9)</f>
        <v>4072.53125</v>
      </c>
      <c r="P14" s="40">
        <f t="shared" si="3"/>
        <v>18425.684027539064</v>
      </c>
      <c r="Q14" s="118"/>
      <c r="R14" s="40">
        <f>R13*(1-'3. Cost-benefit analysis'!$D$9)</f>
        <v>6634.2043128906234</v>
      </c>
      <c r="S14" s="40">
        <f>S13*(1-'3. Cost-benefit analysis'!$D$9)</f>
        <v>6983.3729609374986</v>
      </c>
      <c r="T14" s="40">
        <f>T13*(1-'3. Cost-benefit analysis'!$D$9)</f>
        <v>7350.9189062499991</v>
      </c>
      <c r="U14" s="40">
        <f>U13*(1-'3. Cost-benefit analysis'!$D$9)</f>
        <v>7737.8093749999998</v>
      </c>
      <c r="V14" s="40">
        <f>V13*(1-'3. Cost-benefit analysis'!$D$9)</f>
        <v>8145.0625</v>
      </c>
      <c r="W14" s="40">
        <f t="shared" si="4"/>
        <v>36851.368055078128</v>
      </c>
    </row>
    <row r="15" spans="1:23" x14ac:dyDescent="0.2">
      <c r="B15" s="102">
        <v>10</v>
      </c>
      <c r="C15" s="118"/>
      <c r="D15" s="40">
        <f>D14*(1-'3. Cost-benefit analysis'!$D$9)</f>
        <v>1890.7482291738274</v>
      </c>
      <c r="E15" s="40">
        <f>E14*(1-'3. Cost-benefit analysis'!$D$9)</f>
        <v>1990.2612938671869</v>
      </c>
      <c r="F15" s="40">
        <f>F14*(1-'3. Cost-benefit analysis'!$D$9)</f>
        <v>2095.0118882812494</v>
      </c>
      <c r="G15" s="40">
        <f>G14*(1-'3. Cost-benefit analysis'!$D$9)</f>
        <v>2205.2756718749997</v>
      </c>
      <c r="H15" s="40">
        <f>H14*(1-'3. Cost-benefit analysis'!$D$9)</f>
        <v>2321.3428124999996</v>
      </c>
      <c r="I15" s="40">
        <f t="shared" si="2"/>
        <v>10502.639895697263</v>
      </c>
      <c r="J15" s="118"/>
      <c r="K15" s="40">
        <f>K14*(1-'3. Cost-benefit analysis'!$D$9)</f>
        <v>3151.2470486230459</v>
      </c>
      <c r="L15" s="40">
        <f>L14*(1-'3. Cost-benefit analysis'!$D$9)</f>
        <v>3317.1021564453117</v>
      </c>
      <c r="M15" s="40">
        <f>M14*(1-'3. Cost-benefit analysis'!$D$9)</f>
        <v>3491.6864804687493</v>
      </c>
      <c r="N15" s="40">
        <f>N14*(1-'3. Cost-benefit analysis'!$D$9)</f>
        <v>3675.4594531249995</v>
      </c>
      <c r="O15" s="40">
        <f>O14*(1-'3. Cost-benefit analysis'!$D$9)</f>
        <v>3868.9046874999999</v>
      </c>
      <c r="P15" s="40">
        <f t="shared" si="3"/>
        <v>17504.399826162105</v>
      </c>
      <c r="Q15" s="118"/>
      <c r="R15" s="40">
        <f>R14*(1-'3. Cost-benefit analysis'!$D$9)</f>
        <v>6302.4940972460918</v>
      </c>
      <c r="S15" s="40">
        <f>S14*(1-'3. Cost-benefit analysis'!$D$9)</f>
        <v>6634.2043128906234</v>
      </c>
      <c r="T15" s="40">
        <f>T14*(1-'3. Cost-benefit analysis'!$D$9)</f>
        <v>6983.3729609374986</v>
      </c>
      <c r="U15" s="40">
        <f>U14*(1-'3. Cost-benefit analysis'!$D$9)</f>
        <v>7350.9189062499991</v>
      </c>
      <c r="V15" s="40">
        <f>V14*(1-'3. Cost-benefit analysis'!$D$9)</f>
        <v>7737.8093749999998</v>
      </c>
      <c r="W15" s="40">
        <f t="shared" si="4"/>
        <v>35008.799652324211</v>
      </c>
    </row>
    <row r="16" spans="1:23" x14ac:dyDescent="0.2">
      <c r="B16" s="102">
        <v>11</v>
      </c>
      <c r="C16" s="118"/>
      <c r="D16" s="42">
        <f>D15*(1-'3. Cost-benefit analysis'!$D$9)</f>
        <v>1796.210817715136</v>
      </c>
      <c r="E16" s="40">
        <f>E15*(1-'3. Cost-benefit analysis'!$D$9)</f>
        <v>1890.7482291738274</v>
      </c>
      <c r="F16" s="40">
        <f>F15*(1-'3. Cost-benefit analysis'!$D$9)</f>
        <v>1990.2612938671869</v>
      </c>
      <c r="G16" s="40">
        <f>G15*(1-'3. Cost-benefit analysis'!$D$9)</f>
        <v>2095.0118882812494</v>
      </c>
      <c r="H16" s="40">
        <f>H15*(1-'3. Cost-benefit analysis'!$D$9)</f>
        <v>2205.2756718749997</v>
      </c>
      <c r="I16" s="42">
        <f t="shared" si="2"/>
        <v>9977.5079009123983</v>
      </c>
      <c r="J16" s="118"/>
      <c r="K16" s="40">
        <f>K15*(1-'3. Cost-benefit analysis'!$D$9)</f>
        <v>2993.6846961918936</v>
      </c>
      <c r="L16" s="40">
        <f>L15*(1-'3. Cost-benefit analysis'!$D$9)</f>
        <v>3151.2470486230459</v>
      </c>
      <c r="M16" s="40">
        <f>M15*(1-'3. Cost-benefit analysis'!$D$9)</f>
        <v>3317.1021564453117</v>
      </c>
      <c r="N16" s="40">
        <f>N15*(1-'3. Cost-benefit analysis'!$D$9)</f>
        <v>3491.6864804687493</v>
      </c>
      <c r="O16" s="40">
        <f>O15*(1-'3. Cost-benefit analysis'!$D$9)</f>
        <v>3675.4594531249995</v>
      </c>
      <c r="P16" s="42">
        <f t="shared" si="3"/>
        <v>16629.179834854</v>
      </c>
      <c r="Q16" s="118"/>
      <c r="R16" s="40">
        <f>R15*(1-'3. Cost-benefit analysis'!$D$9)</f>
        <v>5987.3693923837873</v>
      </c>
      <c r="S16" s="40">
        <f>S15*(1-'3. Cost-benefit analysis'!$D$9)</f>
        <v>6302.4940972460918</v>
      </c>
      <c r="T16" s="40">
        <f>T15*(1-'3. Cost-benefit analysis'!$D$9)</f>
        <v>6634.2043128906234</v>
      </c>
      <c r="U16" s="40">
        <f>U15*(1-'3. Cost-benefit analysis'!$D$9)</f>
        <v>6983.3729609374986</v>
      </c>
      <c r="V16" s="40">
        <f>V15*(1-'3. Cost-benefit analysis'!$D$9)</f>
        <v>7350.9189062499991</v>
      </c>
      <c r="W16" s="42">
        <f t="shared" si="4"/>
        <v>33258.359669707999</v>
      </c>
    </row>
    <row r="17" spans="1:23" x14ac:dyDescent="0.2">
      <c r="B17" s="102">
        <v>12</v>
      </c>
      <c r="C17" s="118"/>
      <c r="D17" s="42">
        <f>D16*(1-'3. Cost-benefit analysis'!$D$9)</f>
        <v>1706.4002768293792</v>
      </c>
      <c r="E17" s="40">
        <f>E16*(1-'3. Cost-benefit analysis'!$D$9)</f>
        <v>1796.210817715136</v>
      </c>
      <c r="F17" s="40">
        <f>F16*(1-'3. Cost-benefit analysis'!$D$9)</f>
        <v>1890.7482291738274</v>
      </c>
      <c r="G17" s="40">
        <f>G16*(1-'3. Cost-benefit analysis'!$D$9)</f>
        <v>1990.2612938671869</v>
      </c>
      <c r="H17" s="40">
        <f>H16*(1-'3. Cost-benefit analysis'!$D$9)</f>
        <v>2095.0118882812494</v>
      </c>
      <c r="I17" s="42">
        <f t="shared" si="2"/>
        <v>9478.632505866779</v>
      </c>
      <c r="J17" s="118"/>
      <c r="K17" s="40">
        <f>K16*(1-'3. Cost-benefit analysis'!$D$9)</f>
        <v>2844.0004613822989</v>
      </c>
      <c r="L17" s="40">
        <f>L16*(1-'3. Cost-benefit analysis'!$D$9)</f>
        <v>2993.6846961918936</v>
      </c>
      <c r="M17" s="40">
        <f>M16*(1-'3. Cost-benefit analysis'!$D$9)</f>
        <v>3151.2470486230459</v>
      </c>
      <c r="N17" s="40">
        <f>N16*(1-'3. Cost-benefit analysis'!$D$9)</f>
        <v>3317.1021564453117</v>
      </c>
      <c r="O17" s="40">
        <f>O16*(1-'3. Cost-benefit analysis'!$D$9)</f>
        <v>3491.6864804687493</v>
      </c>
      <c r="P17" s="42">
        <f t="shared" si="3"/>
        <v>15797.720843111299</v>
      </c>
      <c r="Q17" s="118"/>
      <c r="R17" s="40">
        <f>R16*(1-'3. Cost-benefit analysis'!$D$9)</f>
        <v>5688.0009227645978</v>
      </c>
      <c r="S17" s="40">
        <f>S16*(1-'3. Cost-benefit analysis'!$D$9)</f>
        <v>5987.3693923837873</v>
      </c>
      <c r="T17" s="40">
        <f>T16*(1-'3. Cost-benefit analysis'!$D$9)</f>
        <v>6302.4940972460918</v>
      </c>
      <c r="U17" s="40">
        <f>U16*(1-'3. Cost-benefit analysis'!$D$9)</f>
        <v>6634.2043128906234</v>
      </c>
      <c r="V17" s="40">
        <f>V16*(1-'3. Cost-benefit analysis'!$D$9)</f>
        <v>6983.3729609374986</v>
      </c>
      <c r="W17" s="42">
        <f t="shared" si="4"/>
        <v>31595.441686222599</v>
      </c>
    </row>
    <row r="18" spans="1:23" x14ac:dyDescent="0.2">
      <c r="B18" s="102">
        <v>13</v>
      </c>
      <c r="C18" s="118"/>
      <c r="D18" s="42">
        <f>D17*(1-'3. Cost-benefit analysis'!$D$9)</f>
        <v>1621.0802629879101</v>
      </c>
      <c r="E18" s="40">
        <f>E17*(1-'3. Cost-benefit analysis'!$D$9)</f>
        <v>1706.4002768293792</v>
      </c>
      <c r="F18" s="40">
        <f>F17*(1-'3. Cost-benefit analysis'!$D$9)</f>
        <v>1796.210817715136</v>
      </c>
      <c r="G18" s="40">
        <f>G17*(1-'3. Cost-benefit analysis'!$D$9)</f>
        <v>1890.7482291738274</v>
      </c>
      <c r="H18" s="40">
        <f>H17*(1-'3. Cost-benefit analysis'!$D$9)</f>
        <v>1990.2612938671869</v>
      </c>
      <c r="I18" s="42">
        <f t="shared" si="2"/>
        <v>9004.7008805734386</v>
      </c>
      <c r="J18" s="118"/>
      <c r="K18" s="40">
        <f>K17*(1-'3. Cost-benefit analysis'!$D$9)</f>
        <v>2701.8004383131838</v>
      </c>
      <c r="L18" s="40">
        <f>L17*(1-'3. Cost-benefit analysis'!$D$9)</f>
        <v>2844.0004613822989</v>
      </c>
      <c r="M18" s="40">
        <f>M17*(1-'3. Cost-benefit analysis'!$D$9)</f>
        <v>2993.6846961918936</v>
      </c>
      <c r="N18" s="40">
        <f>N17*(1-'3. Cost-benefit analysis'!$D$9)</f>
        <v>3151.2470486230459</v>
      </c>
      <c r="O18" s="40">
        <f>O17*(1-'3. Cost-benefit analysis'!$D$9)</f>
        <v>3317.1021564453117</v>
      </c>
      <c r="P18" s="42">
        <f t="shared" si="3"/>
        <v>15007.834800955734</v>
      </c>
      <c r="Q18" s="118"/>
      <c r="R18" s="40">
        <f>R17*(1-'3. Cost-benefit analysis'!$D$9)</f>
        <v>5403.6008766263676</v>
      </c>
      <c r="S18" s="40">
        <f>S17*(1-'3. Cost-benefit analysis'!$D$9)</f>
        <v>5688.0009227645978</v>
      </c>
      <c r="T18" s="40">
        <f>T17*(1-'3. Cost-benefit analysis'!$D$9)</f>
        <v>5987.3693923837873</v>
      </c>
      <c r="U18" s="40">
        <f>U17*(1-'3. Cost-benefit analysis'!$D$9)</f>
        <v>6302.4940972460918</v>
      </c>
      <c r="V18" s="40">
        <f>V17*(1-'3. Cost-benefit analysis'!$D$9)</f>
        <v>6634.2043128906234</v>
      </c>
      <c r="W18" s="42">
        <f t="shared" si="4"/>
        <v>30015.669601911468</v>
      </c>
    </row>
    <row r="19" spans="1:23" x14ac:dyDescent="0.2">
      <c r="B19" s="102">
        <v>14</v>
      </c>
      <c r="C19" s="118"/>
      <c r="D19" s="42">
        <f>D18*(1-'3. Cost-benefit analysis'!$D$9)</f>
        <v>1540.0262498385146</v>
      </c>
      <c r="E19" s="40">
        <f>E18*(1-'3. Cost-benefit analysis'!$D$9)</f>
        <v>1621.0802629879101</v>
      </c>
      <c r="F19" s="40">
        <f>F18*(1-'3. Cost-benefit analysis'!$D$9)</f>
        <v>1706.4002768293792</v>
      </c>
      <c r="G19" s="40">
        <f>G18*(1-'3. Cost-benefit analysis'!$D$9)</f>
        <v>1796.210817715136</v>
      </c>
      <c r="H19" s="40">
        <f>H18*(1-'3. Cost-benefit analysis'!$D$9)</f>
        <v>1890.7482291738274</v>
      </c>
      <c r="I19" s="42">
        <f t="shared" si="2"/>
        <v>8554.4658365447667</v>
      </c>
      <c r="J19" s="118"/>
      <c r="K19" s="40">
        <f>K18*(1-'3. Cost-benefit analysis'!$D$9)</f>
        <v>2566.7104163975246</v>
      </c>
      <c r="L19" s="40">
        <f>L18*(1-'3. Cost-benefit analysis'!$D$9)</f>
        <v>2701.8004383131838</v>
      </c>
      <c r="M19" s="40">
        <f>M18*(1-'3. Cost-benefit analysis'!$D$9)</f>
        <v>2844.0004613822989</v>
      </c>
      <c r="N19" s="40">
        <f>N18*(1-'3. Cost-benefit analysis'!$D$9)</f>
        <v>2993.6846961918936</v>
      </c>
      <c r="O19" s="40">
        <f>O18*(1-'3. Cost-benefit analysis'!$D$9)</f>
        <v>3151.2470486230459</v>
      </c>
      <c r="P19" s="42">
        <f t="shared" si="3"/>
        <v>14257.443060907946</v>
      </c>
      <c r="Q19" s="118"/>
      <c r="R19" s="40">
        <f>R18*(1-'3. Cost-benefit analysis'!$D$9)</f>
        <v>5133.4208327950491</v>
      </c>
      <c r="S19" s="40">
        <f>S18*(1-'3. Cost-benefit analysis'!$D$9)</f>
        <v>5403.6008766263676</v>
      </c>
      <c r="T19" s="40">
        <f>T18*(1-'3. Cost-benefit analysis'!$D$9)</f>
        <v>5688.0009227645978</v>
      </c>
      <c r="U19" s="40">
        <f>U18*(1-'3. Cost-benefit analysis'!$D$9)</f>
        <v>5987.3693923837873</v>
      </c>
      <c r="V19" s="40">
        <f>V18*(1-'3. Cost-benefit analysis'!$D$9)</f>
        <v>6302.4940972460918</v>
      </c>
      <c r="W19" s="42">
        <f t="shared" si="4"/>
        <v>28514.886121815893</v>
      </c>
    </row>
    <row r="20" spans="1:23" x14ac:dyDescent="0.2">
      <c r="B20" s="102">
        <v>15</v>
      </c>
      <c r="C20" s="118"/>
      <c r="D20" s="42">
        <f>D19*(1-'3. Cost-benefit analysis'!$D$9)</f>
        <v>1463.0249373465888</v>
      </c>
      <c r="E20" s="40">
        <f>E19*(1-'3. Cost-benefit analysis'!$D$9)</f>
        <v>1540.0262498385146</v>
      </c>
      <c r="F20" s="40">
        <f>F19*(1-'3. Cost-benefit analysis'!$D$9)</f>
        <v>1621.0802629879101</v>
      </c>
      <c r="G20" s="40">
        <f>G19*(1-'3. Cost-benefit analysis'!$D$9)</f>
        <v>1706.4002768293792</v>
      </c>
      <c r="H20" s="40">
        <f>H19*(1-'3. Cost-benefit analysis'!$D$9)</f>
        <v>1796.210817715136</v>
      </c>
      <c r="I20" s="42">
        <f t="shared" si="2"/>
        <v>8126.7425447175283</v>
      </c>
      <c r="J20" s="118"/>
      <c r="K20" s="40">
        <f>K19*(1-'3. Cost-benefit analysis'!$D$9)</f>
        <v>2438.3748955776482</v>
      </c>
      <c r="L20" s="40">
        <f>L19*(1-'3. Cost-benefit analysis'!$D$9)</f>
        <v>2566.7104163975246</v>
      </c>
      <c r="M20" s="40">
        <f>M19*(1-'3. Cost-benefit analysis'!$D$9)</f>
        <v>2701.8004383131838</v>
      </c>
      <c r="N20" s="40">
        <f>N19*(1-'3. Cost-benefit analysis'!$D$9)</f>
        <v>2844.0004613822989</v>
      </c>
      <c r="O20" s="40">
        <f>O19*(1-'3. Cost-benefit analysis'!$D$9)</f>
        <v>2993.6846961918936</v>
      </c>
      <c r="P20" s="42">
        <f t="shared" si="3"/>
        <v>13544.570907862548</v>
      </c>
      <c r="Q20" s="118"/>
      <c r="R20" s="40">
        <f>R19*(1-'3. Cost-benefit analysis'!$D$9)</f>
        <v>4876.7497911552964</v>
      </c>
      <c r="S20" s="40">
        <f>S19*(1-'3. Cost-benefit analysis'!$D$9)</f>
        <v>5133.4208327950491</v>
      </c>
      <c r="T20" s="40">
        <f>T19*(1-'3. Cost-benefit analysis'!$D$9)</f>
        <v>5403.6008766263676</v>
      </c>
      <c r="U20" s="40">
        <f>U19*(1-'3. Cost-benefit analysis'!$D$9)</f>
        <v>5688.0009227645978</v>
      </c>
      <c r="V20" s="40">
        <f>V19*(1-'3. Cost-benefit analysis'!$D$9)</f>
        <v>5987.3693923837873</v>
      </c>
      <c r="W20" s="42">
        <f t="shared" si="4"/>
        <v>27089.141815725096</v>
      </c>
    </row>
    <row r="22" spans="1:23" x14ac:dyDescent="0.2">
      <c r="D22" s="34" t="s">
        <v>86</v>
      </c>
    </row>
    <row r="23" spans="1:23" x14ac:dyDescent="0.2">
      <c r="D23" s="34" t="s">
        <v>59</v>
      </c>
    </row>
    <row r="27" spans="1:23" ht="16" hidden="1" x14ac:dyDescent="0.2">
      <c r="A27" t="s">
        <v>40</v>
      </c>
      <c r="B27" s="73" t="s">
        <v>9</v>
      </c>
      <c r="C27" t="s">
        <v>39</v>
      </c>
      <c r="D27" t="s">
        <v>41</v>
      </c>
    </row>
    <row r="28" spans="1:23" hidden="1" x14ac:dyDescent="0.2">
      <c r="A28" t="str">
        <f>+CONCATENATE(B28,"-",C28)</f>
        <v>1-Low scenario</v>
      </c>
      <c r="B28" s="74">
        <v>1</v>
      </c>
      <c r="C28" t="str">
        <f t="shared" ref="C28:C42" si="5">$D$3</f>
        <v>Low scenario</v>
      </c>
      <c r="D28">
        <f>I6</f>
        <v>3000</v>
      </c>
      <c r="G28" t="str">
        <f>D3</f>
        <v>Low scenario</v>
      </c>
      <c r="H28" s="64">
        <f>I4</f>
        <v>3000</v>
      </c>
    </row>
    <row r="29" spans="1:23" hidden="1" x14ac:dyDescent="0.2">
      <c r="A29" t="str">
        <f t="shared" ref="A29:A72" si="6">+CONCATENATE(B29,"-",C29)</f>
        <v>2-Low scenario</v>
      </c>
      <c r="B29" s="74">
        <v>2</v>
      </c>
      <c r="C29" t="str">
        <f t="shared" si="5"/>
        <v>Low scenario</v>
      </c>
      <c r="D29">
        <f t="shared" ref="D29:D42" si="7">I7</f>
        <v>5850</v>
      </c>
      <c r="G29" t="str">
        <f>K3</f>
        <v>Medium scenario</v>
      </c>
      <c r="H29" s="64">
        <f>P4</f>
        <v>5000</v>
      </c>
    </row>
    <row r="30" spans="1:23" hidden="1" x14ac:dyDescent="0.2">
      <c r="A30" t="str">
        <f t="shared" si="6"/>
        <v>3-Low scenario</v>
      </c>
      <c r="B30" s="74">
        <v>3</v>
      </c>
      <c r="C30" t="str">
        <f t="shared" si="5"/>
        <v>Low scenario</v>
      </c>
      <c r="D30">
        <f t="shared" si="7"/>
        <v>8557.5</v>
      </c>
      <c r="G30" t="str">
        <f>R3</f>
        <v>High scenario</v>
      </c>
      <c r="H30" s="64">
        <f>W4</f>
        <v>10000</v>
      </c>
    </row>
    <row r="31" spans="1:23" hidden="1" x14ac:dyDescent="0.2">
      <c r="A31" t="str">
        <f t="shared" si="6"/>
        <v>4-Low scenario</v>
      </c>
      <c r="B31" s="74">
        <v>4</v>
      </c>
      <c r="C31" t="str">
        <f t="shared" si="5"/>
        <v>Low scenario</v>
      </c>
      <c r="D31">
        <f t="shared" si="7"/>
        <v>11129.625</v>
      </c>
    </row>
    <row r="32" spans="1:23" hidden="1" x14ac:dyDescent="0.2">
      <c r="A32" t="str">
        <f t="shared" si="6"/>
        <v>5-Low scenario</v>
      </c>
      <c r="B32" s="74">
        <v>5</v>
      </c>
      <c r="C32" t="str">
        <f t="shared" si="5"/>
        <v>Low scenario</v>
      </c>
      <c r="D32">
        <f t="shared" si="7"/>
        <v>13573.143749999999</v>
      </c>
    </row>
    <row r="33" spans="1:4" hidden="1" x14ac:dyDescent="0.2">
      <c r="A33" t="str">
        <f t="shared" si="6"/>
        <v>6-Low scenario</v>
      </c>
      <c r="B33" s="74">
        <v>6</v>
      </c>
      <c r="C33" t="str">
        <f t="shared" si="5"/>
        <v>Low scenario</v>
      </c>
      <c r="D33">
        <f t="shared" si="7"/>
        <v>12894.486562499998</v>
      </c>
    </row>
    <row r="34" spans="1:4" hidden="1" x14ac:dyDescent="0.2">
      <c r="A34" t="str">
        <f t="shared" si="6"/>
        <v>7-Low scenario</v>
      </c>
      <c r="B34" s="74">
        <v>7</v>
      </c>
      <c r="C34" t="str">
        <f t="shared" si="5"/>
        <v>Low scenario</v>
      </c>
      <c r="D34">
        <f t="shared" si="7"/>
        <v>12249.762234374999</v>
      </c>
    </row>
    <row r="35" spans="1:4" hidden="1" x14ac:dyDescent="0.2">
      <c r="A35" t="str">
        <f t="shared" si="6"/>
        <v>8-Low scenario</v>
      </c>
      <c r="B35" s="74">
        <v>8</v>
      </c>
      <c r="C35" t="str">
        <f t="shared" si="5"/>
        <v>Low scenario</v>
      </c>
      <c r="D35">
        <f t="shared" si="7"/>
        <v>11637.274122656248</v>
      </c>
    </row>
    <row r="36" spans="1:4" hidden="1" x14ac:dyDescent="0.2">
      <c r="A36" t="str">
        <f t="shared" si="6"/>
        <v>9-Low scenario</v>
      </c>
      <c r="B36" s="74">
        <v>9</v>
      </c>
      <c r="C36" t="str">
        <f t="shared" si="5"/>
        <v>Low scenario</v>
      </c>
      <c r="D36">
        <f t="shared" si="7"/>
        <v>11055.410416523435</v>
      </c>
    </row>
    <row r="37" spans="1:4" hidden="1" x14ac:dyDescent="0.2">
      <c r="A37" t="str">
        <f t="shared" si="6"/>
        <v>10-Low scenario</v>
      </c>
      <c r="B37" s="74">
        <v>10</v>
      </c>
      <c r="C37" t="str">
        <f t="shared" si="5"/>
        <v>Low scenario</v>
      </c>
      <c r="D37">
        <f t="shared" si="7"/>
        <v>10502.639895697263</v>
      </c>
    </row>
    <row r="38" spans="1:4" hidden="1" x14ac:dyDescent="0.2">
      <c r="A38" t="str">
        <f t="shared" si="6"/>
        <v>11-Low scenario</v>
      </c>
      <c r="B38" s="74">
        <v>11</v>
      </c>
      <c r="C38" t="str">
        <f t="shared" si="5"/>
        <v>Low scenario</v>
      </c>
      <c r="D38">
        <f t="shared" si="7"/>
        <v>9977.5079009123983</v>
      </c>
    </row>
    <row r="39" spans="1:4" hidden="1" x14ac:dyDescent="0.2">
      <c r="A39" t="str">
        <f t="shared" si="6"/>
        <v>12-Low scenario</v>
      </c>
      <c r="B39" s="74">
        <v>12</v>
      </c>
      <c r="C39" t="str">
        <f t="shared" si="5"/>
        <v>Low scenario</v>
      </c>
      <c r="D39">
        <f t="shared" si="7"/>
        <v>9478.632505866779</v>
      </c>
    </row>
    <row r="40" spans="1:4" hidden="1" x14ac:dyDescent="0.2">
      <c r="A40" t="str">
        <f t="shared" si="6"/>
        <v>13-Low scenario</v>
      </c>
      <c r="B40" s="74">
        <v>13</v>
      </c>
      <c r="C40" t="str">
        <f t="shared" si="5"/>
        <v>Low scenario</v>
      </c>
      <c r="D40">
        <f t="shared" si="7"/>
        <v>9004.7008805734386</v>
      </c>
    </row>
    <row r="41" spans="1:4" hidden="1" x14ac:dyDescent="0.2">
      <c r="A41" t="str">
        <f t="shared" si="6"/>
        <v>14-Low scenario</v>
      </c>
      <c r="B41" s="74">
        <v>14</v>
      </c>
      <c r="C41" t="str">
        <f t="shared" si="5"/>
        <v>Low scenario</v>
      </c>
      <c r="D41">
        <f t="shared" si="7"/>
        <v>8554.4658365447667</v>
      </c>
    </row>
    <row r="42" spans="1:4" hidden="1" x14ac:dyDescent="0.2">
      <c r="A42" t="str">
        <f t="shared" si="6"/>
        <v>15-Low scenario</v>
      </c>
      <c r="B42" s="74">
        <v>15</v>
      </c>
      <c r="C42" t="str">
        <f t="shared" si="5"/>
        <v>Low scenario</v>
      </c>
      <c r="D42">
        <f t="shared" si="7"/>
        <v>8126.7425447175283</v>
      </c>
    </row>
    <row r="43" spans="1:4" hidden="1" x14ac:dyDescent="0.2">
      <c r="A43" t="str">
        <f t="shared" si="6"/>
        <v>1-Medium scenario</v>
      </c>
      <c r="B43" s="74">
        <v>1</v>
      </c>
      <c r="C43" t="str">
        <f t="shared" ref="C43:C57" si="8">$K$3</f>
        <v>Medium scenario</v>
      </c>
      <c r="D43" s="2">
        <f>P6</f>
        <v>5000</v>
      </c>
    </row>
    <row r="44" spans="1:4" hidden="1" x14ac:dyDescent="0.2">
      <c r="A44" t="str">
        <f t="shared" si="6"/>
        <v>2-Medium scenario</v>
      </c>
      <c r="B44" s="74">
        <v>2</v>
      </c>
      <c r="C44" t="str">
        <f t="shared" si="8"/>
        <v>Medium scenario</v>
      </c>
      <c r="D44" s="2">
        <f t="shared" ref="D44:D57" si="9">P7</f>
        <v>9750</v>
      </c>
    </row>
    <row r="45" spans="1:4" hidden="1" x14ac:dyDescent="0.2">
      <c r="A45" t="str">
        <f t="shared" si="6"/>
        <v>3-Medium scenario</v>
      </c>
      <c r="B45" s="74">
        <v>3</v>
      </c>
      <c r="C45" t="str">
        <f t="shared" si="8"/>
        <v>Medium scenario</v>
      </c>
      <c r="D45" s="2">
        <f t="shared" si="9"/>
        <v>14262.5</v>
      </c>
    </row>
    <row r="46" spans="1:4" hidden="1" x14ac:dyDescent="0.2">
      <c r="A46" t="str">
        <f t="shared" si="6"/>
        <v>4-Medium scenario</v>
      </c>
      <c r="B46" s="74">
        <v>4</v>
      </c>
      <c r="C46" t="str">
        <f t="shared" si="8"/>
        <v>Medium scenario</v>
      </c>
      <c r="D46" s="2">
        <f t="shared" si="9"/>
        <v>18549.375</v>
      </c>
    </row>
    <row r="47" spans="1:4" hidden="1" x14ac:dyDescent="0.2">
      <c r="A47" t="str">
        <f t="shared" si="6"/>
        <v>5-Medium scenario</v>
      </c>
      <c r="B47" s="74">
        <v>5</v>
      </c>
      <c r="C47" t="str">
        <f t="shared" si="8"/>
        <v>Medium scenario</v>
      </c>
      <c r="D47" s="2">
        <f t="shared" si="9"/>
        <v>22621.90625</v>
      </c>
    </row>
    <row r="48" spans="1:4" hidden="1" x14ac:dyDescent="0.2">
      <c r="A48" t="str">
        <f t="shared" si="6"/>
        <v>6-Medium scenario</v>
      </c>
      <c r="B48" s="74">
        <v>6</v>
      </c>
      <c r="C48" t="str">
        <f t="shared" si="8"/>
        <v>Medium scenario</v>
      </c>
      <c r="D48" s="2">
        <f t="shared" si="9"/>
        <v>21490.810937499999</v>
      </c>
    </row>
    <row r="49" spans="1:4" hidden="1" x14ac:dyDescent="0.2">
      <c r="A49" t="str">
        <f t="shared" si="6"/>
        <v>7-Medium scenario</v>
      </c>
      <c r="B49" s="74">
        <v>7</v>
      </c>
      <c r="C49" t="str">
        <f t="shared" si="8"/>
        <v>Medium scenario</v>
      </c>
      <c r="D49" s="2">
        <f t="shared" si="9"/>
        <v>20416.270390624999</v>
      </c>
    </row>
    <row r="50" spans="1:4" hidden="1" x14ac:dyDescent="0.2">
      <c r="A50" t="str">
        <f t="shared" si="6"/>
        <v>8-Medium scenario</v>
      </c>
      <c r="B50" s="74">
        <v>8</v>
      </c>
      <c r="C50" t="str">
        <f t="shared" si="8"/>
        <v>Medium scenario</v>
      </c>
      <c r="D50" s="2">
        <f t="shared" si="9"/>
        <v>19395.456871093749</v>
      </c>
    </row>
    <row r="51" spans="1:4" hidden="1" x14ac:dyDescent="0.2">
      <c r="A51" t="str">
        <f t="shared" si="6"/>
        <v>9-Medium scenario</v>
      </c>
      <c r="B51" s="74">
        <v>9</v>
      </c>
      <c r="C51" t="str">
        <f t="shared" si="8"/>
        <v>Medium scenario</v>
      </c>
      <c r="D51" s="2">
        <f t="shared" si="9"/>
        <v>18425.684027539064</v>
      </c>
    </row>
    <row r="52" spans="1:4" hidden="1" x14ac:dyDescent="0.2">
      <c r="A52" t="str">
        <f t="shared" si="6"/>
        <v>10-Medium scenario</v>
      </c>
      <c r="B52" s="74">
        <v>10</v>
      </c>
      <c r="C52" t="str">
        <f t="shared" si="8"/>
        <v>Medium scenario</v>
      </c>
      <c r="D52" s="2">
        <f t="shared" si="9"/>
        <v>17504.399826162105</v>
      </c>
    </row>
    <row r="53" spans="1:4" hidden="1" x14ac:dyDescent="0.2">
      <c r="A53" t="str">
        <f t="shared" si="6"/>
        <v>11-Medium scenario</v>
      </c>
      <c r="B53" s="74">
        <v>11</v>
      </c>
      <c r="C53" t="str">
        <f t="shared" si="8"/>
        <v>Medium scenario</v>
      </c>
      <c r="D53" s="2">
        <f t="shared" si="9"/>
        <v>16629.179834854</v>
      </c>
    </row>
    <row r="54" spans="1:4" hidden="1" x14ac:dyDescent="0.2">
      <c r="A54" t="str">
        <f t="shared" si="6"/>
        <v>12-Medium scenario</v>
      </c>
      <c r="B54" s="74">
        <v>12</v>
      </c>
      <c r="C54" t="str">
        <f t="shared" si="8"/>
        <v>Medium scenario</v>
      </c>
      <c r="D54" s="2">
        <f t="shared" si="9"/>
        <v>15797.720843111299</v>
      </c>
    </row>
    <row r="55" spans="1:4" hidden="1" x14ac:dyDescent="0.2">
      <c r="A55" t="str">
        <f t="shared" si="6"/>
        <v>13-Medium scenario</v>
      </c>
      <c r="B55" s="74">
        <v>13</v>
      </c>
      <c r="C55" t="str">
        <f t="shared" si="8"/>
        <v>Medium scenario</v>
      </c>
      <c r="D55" s="2">
        <f t="shared" si="9"/>
        <v>15007.834800955734</v>
      </c>
    </row>
    <row r="56" spans="1:4" hidden="1" x14ac:dyDescent="0.2">
      <c r="A56" t="str">
        <f t="shared" si="6"/>
        <v>14-Medium scenario</v>
      </c>
      <c r="B56" s="74">
        <v>14</v>
      </c>
      <c r="C56" t="str">
        <f t="shared" si="8"/>
        <v>Medium scenario</v>
      </c>
      <c r="D56" s="2">
        <f t="shared" si="9"/>
        <v>14257.443060907946</v>
      </c>
    </row>
    <row r="57" spans="1:4" hidden="1" x14ac:dyDescent="0.2">
      <c r="A57" t="str">
        <f t="shared" si="6"/>
        <v>15-Medium scenario</v>
      </c>
      <c r="B57" s="74">
        <v>15</v>
      </c>
      <c r="C57" t="str">
        <f t="shared" si="8"/>
        <v>Medium scenario</v>
      </c>
      <c r="D57" s="2">
        <f t="shared" si="9"/>
        <v>13544.570907862548</v>
      </c>
    </row>
    <row r="58" spans="1:4" hidden="1" x14ac:dyDescent="0.2">
      <c r="A58" t="str">
        <f t="shared" si="6"/>
        <v>1-High scenario</v>
      </c>
      <c r="B58" s="74">
        <v>1</v>
      </c>
      <c r="C58" s="65" t="str">
        <f t="shared" ref="C58:C72" si="10">$R$3</f>
        <v>High scenario</v>
      </c>
      <c r="D58" s="2">
        <f>W6</f>
        <v>10000</v>
      </c>
    </row>
    <row r="59" spans="1:4" hidden="1" x14ac:dyDescent="0.2">
      <c r="A59" t="str">
        <f t="shared" si="6"/>
        <v>2-High scenario</v>
      </c>
      <c r="B59" s="74">
        <v>2</v>
      </c>
      <c r="C59" s="65" t="str">
        <f t="shared" si="10"/>
        <v>High scenario</v>
      </c>
      <c r="D59" s="2">
        <f t="shared" ref="D59:D72" si="11">W7</f>
        <v>19500</v>
      </c>
    </row>
    <row r="60" spans="1:4" hidden="1" x14ac:dyDescent="0.2">
      <c r="A60" t="str">
        <f t="shared" si="6"/>
        <v>3-High scenario</v>
      </c>
      <c r="B60" s="74">
        <v>3</v>
      </c>
      <c r="C60" s="65" t="str">
        <f t="shared" si="10"/>
        <v>High scenario</v>
      </c>
      <c r="D60" s="2">
        <f t="shared" si="11"/>
        <v>28525</v>
      </c>
    </row>
    <row r="61" spans="1:4" hidden="1" x14ac:dyDescent="0.2">
      <c r="A61" t="str">
        <f t="shared" si="6"/>
        <v>4-High scenario</v>
      </c>
      <c r="B61" s="74">
        <v>4</v>
      </c>
      <c r="C61" s="65" t="str">
        <f t="shared" si="10"/>
        <v>High scenario</v>
      </c>
      <c r="D61" s="2">
        <f t="shared" si="11"/>
        <v>37098.75</v>
      </c>
    </row>
    <row r="62" spans="1:4" hidden="1" x14ac:dyDescent="0.2">
      <c r="A62" t="str">
        <f t="shared" si="6"/>
        <v>5-High scenario</v>
      </c>
      <c r="B62" s="74">
        <v>5</v>
      </c>
      <c r="C62" s="65" t="str">
        <f t="shared" si="10"/>
        <v>High scenario</v>
      </c>
      <c r="D62" s="2">
        <f t="shared" si="11"/>
        <v>45243.8125</v>
      </c>
    </row>
    <row r="63" spans="1:4" hidden="1" x14ac:dyDescent="0.2">
      <c r="A63" t="str">
        <f t="shared" si="6"/>
        <v>6-High scenario</v>
      </c>
      <c r="B63" s="74">
        <v>6</v>
      </c>
      <c r="C63" s="65" t="str">
        <f t="shared" si="10"/>
        <v>High scenario</v>
      </c>
      <c r="D63" s="2">
        <f t="shared" si="11"/>
        <v>42981.621874999997</v>
      </c>
    </row>
    <row r="64" spans="1:4" hidden="1" x14ac:dyDescent="0.2">
      <c r="A64" t="str">
        <f t="shared" si="6"/>
        <v>7-High scenario</v>
      </c>
      <c r="B64" s="74">
        <v>7</v>
      </c>
      <c r="C64" s="65" t="str">
        <f t="shared" si="10"/>
        <v>High scenario</v>
      </c>
      <c r="D64" s="2">
        <f t="shared" si="11"/>
        <v>40832.540781249998</v>
      </c>
    </row>
    <row r="65" spans="1:4" hidden="1" x14ac:dyDescent="0.2">
      <c r="A65" t="str">
        <f t="shared" si="6"/>
        <v>8-High scenario</v>
      </c>
      <c r="B65" s="74">
        <v>8</v>
      </c>
      <c r="C65" s="65" t="str">
        <f t="shared" si="10"/>
        <v>High scenario</v>
      </c>
      <c r="D65" s="2">
        <f t="shared" si="11"/>
        <v>38790.913742187498</v>
      </c>
    </row>
    <row r="66" spans="1:4" hidden="1" x14ac:dyDescent="0.2">
      <c r="A66" t="str">
        <f t="shared" si="6"/>
        <v>9-High scenario</v>
      </c>
      <c r="B66" s="74">
        <v>9</v>
      </c>
      <c r="C66" s="65" t="str">
        <f t="shared" si="10"/>
        <v>High scenario</v>
      </c>
      <c r="D66" s="2">
        <f t="shared" si="11"/>
        <v>36851.368055078128</v>
      </c>
    </row>
    <row r="67" spans="1:4" hidden="1" x14ac:dyDescent="0.2">
      <c r="A67" t="str">
        <f t="shared" si="6"/>
        <v>10-High scenario</v>
      </c>
      <c r="B67" s="74">
        <v>10</v>
      </c>
      <c r="C67" s="65" t="str">
        <f t="shared" si="10"/>
        <v>High scenario</v>
      </c>
      <c r="D67" s="2">
        <f t="shared" si="11"/>
        <v>35008.799652324211</v>
      </c>
    </row>
    <row r="68" spans="1:4" hidden="1" x14ac:dyDescent="0.2">
      <c r="A68" t="str">
        <f t="shared" si="6"/>
        <v>11-High scenario</v>
      </c>
      <c r="B68" s="74">
        <v>11</v>
      </c>
      <c r="C68" s="65" t="str">
        <f t="shared" si="10"/>
        <v>High scenario</v>
      </c>
      <c r="D68" s="2">
        <f t="shared" si="11"/>
        <v>33258.359669707999</v>
      </c>
    </row>
    <row r="69" spans="1:4" hidden="1" x14ac:dyDescent="0.2">
      <c r="A69" t="str">
        <f t="shared" si="6"/>
        <v>12-High scenario</v>
      </c>
      <c r="B69" s="74">
        <v>12</v>
      </c>
      <c r="C69" s="65" t="str">
        <f t="shared" si="10"/>
        <v>High scenario</v>
      </c>
      <c r="D69" s="2">
        <f t="shared" si="11"/>
        <v>31595.441686222599</v>
      </c>
    </row>
    <row r="70" spans="1:4" hidden="1" x14ac:dyDescent="0.2">
      <c r="A70" t="str">
        <f t="shared" si="6"/>
        <v>13-High scenario</v>
      </c>
      <c r="B70" s="74">
        <v>13</v>
      </c>
      <c r="C70" s="65" t="str">
        <f t="shared" si="10"/>
        <v>High scenario</v>
      </c>
      <c r="D70" s="2">
        <f t="shared" si="11"/>
        <v>30015.669601911468</v>
      </c>
    </row>
    <row r="71" spans="1:4" hidden="1" x14ac:dyDescent="0.2">
      <c r="A71" t="str">
        <f t="shared" si="6"/>
        <v>14-High scenario</v>
      </c>
      <c r="B71" s="74">
        <v>14</v>
      </c>
      <c r="C71" s="65" t="str">
        <f t="shared" si="10"/>
        <v>High scenario</v>
      </c>
      <c r="D71" s="2">
        <f t="shared" si="11"/>
        <v>28514.886121815893</v>
      </c>
    </row>
    <row r="72" spans="1:4" hidden="1" x14ac:dyDescent="0.2">
      <c r="A72" t="str">
        <f t="shared" si="6"/>
        <v>15-High scenario</v>
      </c>
      <c r="B72" s="74">
        <v>15</v>
      </c>
      <c r="C72" s="65" t="str">
        <f t="shared" si="10"/>
        <v>High scenario</v>
      </c>
      <c r="D72" s="2">
        <f t="shared" si="11"/>
        <v>27089.141815725096</v>
      </c>
    </row>
  </sheetData>
  <mergeCells count="4">
    <mergeCell ref="B1:F1"/>
    <mergeCell ref="R4:U4"/>
    <mergeCell ref="K4:N4"/>
    <mergeCell ref="G4:H4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7BDE5A-4B64-4A36-8C0A-FA2A384BF428}">
          <x14:formula1>
            <xm:f>'A. List'!$B$2:$B$14</xm:f>
          </x14:formula1>
          <xm:sqref>I4 P4 W4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F1B4C-D6C1-4A1C-98B4-D30EE6EBCD81}">
  <sheetPr codeName="Sheet8">
    <tabColor theme="8" tint="0.39997558519241921"/>
  </sheetPr>
  <dimension ref="A1:BF151"/>
  <sheetViews>
    <sheetView showGridLines="0" topLeftCell="B16" zoomScale="110" zoomScaleNormal="110" zoomScalePageLayoutView="125" workbookViewId="0">
      <selection activeCell="AJ66" sqref="AJ66"/>
    </sheetView>
  </sheetViews>
  <sheetFormatPr baseColWidth="10" defaultColWidth="8.6640625" defaultRowHeight="15" x14ac:dyDescent="0.2"/>
  <cols>
    <col min="1" max="1" width="27.6640625" hidden="1" customWidth="1"/>
    <col min="2" max="2" width="5.6640625" style="19" customWidth="1"/>
    <col min="3" max="3" width="24.83203125" customWidth="1"/>
    <col min="4" max="4" width="26" bestFit="1" customWidth="1"/>
    <col min="5" max="5" width="14.33203125" bestFit="1" customWidth="1"/>
    <col min="6" max="6" width="17.6640625" customWidth="1"/>
    <col min="7" max="7" width="11.5" customWidth="1"/>
    <col min="8" max="8" width="17.6640625" customWidth="1"/>
    <col min="9" max="9" width="17.33203125" customWidth="1"/>
    <col min="10" max="10" width="14.6640625" customWidth="1"/>
    <col min="11" max="11" width="15.83203125" customWidth="1"/>
    <col min="12" max="12" width="11.83203125" customWidth="1"/>
    <col min="13" max="13" width="16.1640625" customWidth="1"/>
    <col min="14" max="16" width="14.83203125" customWidth="1"/>
    <col min="17" max="17" width="14.83203125" style="19" customWidth="1"/>
    <col min="18" max="18" width="18.33203125" style="19" customWidth="1"/>
    <col min="19" max="19" width="14.83203125" style="19" customWidth="1"/>
    <col min="20" max="32" width="14.83203125" style="19" hidden="1" customWidth="1"/>
    <col min="33" max="34" width="14.6640625" style="19" hidden="1" customWidth="1"/>
    <col min="35" max="40" width="14.6640625" style="19" customWidth="1"/>
    <col min="41" max="56" width="14.83203125" style="19" customWidth="1"/>
    <col min="57" max="57" width="9.5" style="19" bestFit="1" customWidth="1"/>
    <col min="58" max="58" width="8.6640625" style="19"/>
  </cols>
  <sheetData>
    <row r="1" spans="1:34" x14ac:dyDescent="0.2">
      <c r="B1" s="149">
        <v>3</v>
      </c>
      <c r="C1" s="95" t="s">
        <v>73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4" x14ac:dyDescent="0.2">
      <c r="B2"/>
      <c r="Q2"/>
      <c r="R2"/>
      <c r="S2"/>
      <c r="T2"/>
      <c r="U2"/>
      <c r="V2"/>
      <c r="W2"/>
      <c r="X2"/>
    </row>
    <row r="3" spans="1:34" s="19" customFormat="1" x14ac:dyDescent="0.2">
      <c r="B3" s="96" t="s">
        <v>16</v>
      </c>
      <c r="C3" s="97" t="s">
        <v>60</v>
      </c>
      <c r="D3" s="98"/>
      <c r="E3" s="98"/>
      <c r="H3" s="96" t="s">
        <v>27</v>
      </c>
      <c r="I3" s="97" t="s">
        <v>53</v>
      </c>
      <c r="J3" s="98"/>
      <c r="K3" s="98"/>
    </row>
    <row r="4" spans="1:34" s="19" customFormat="1" x14ac:dyDescent="0.2"/>
    <row r="5" spans="1:34" s="19" customFormat="1" x14ac:dyDescent="0.2">
      <c r="C5" s="7" t="s">
        <v>49</v>
      </c>
      <c r="E5" s="85"/>
      <c r="H5" s="7" t="s">
        <v>98</v>
      </c>
      <c r="I5" s="7"/>
    </row>
    <row r="6" spans="1:34" s="19" customFormat="1" x14ac:dyDescent="0.2">
      <c r="C6" s="7"/>
      <c r="D6" s="19" t="s">
        <v>116</v>
      </c>
      <c r="E6" s="19" t="s">
        <v>117</v>
      </c>
      <c r="F6" s="19" t="s">
        <v>118</v>
      </c>
      <c r="H6" s="7"/>
      <c r="I6" s="7"/>
    </row>
    <row r="7" spans="1:34" s="19" customFormat="1" x14ac:dyDescent="0.2">
      <c r="C7" s="19" t="s">
        <v>47</v>
      </c>
      <c r="D7" s="77" t="s">
        <v>113</v>
      </c>
      <c r="E7" s="142">
        <f>+VLOOKUP(D7,Tabelle5[[Emission reduction potential per stove ]:[Value]],2,0)</f>
        <v>2</v>
      </c>
      <c r="F7" s="139" t="s">
        <v>104</v>
      </c>
      <c r="H7" s="78" t="s">
        <v>19</v>
      </c>
      <c r="I7" s="79" t="s">
        <v>101</v>
      </c>
      <c r="J7" s="79" t="s">
        <v>17</v>
      </c>
    </row>
    <row r="8" spans="1:34" s="19" customFormat="1" x14ac:dyDescent="0.2">
      <c r="C8" s="19" t="s">
        <v>48</v>
      </c>
      <c r="D8" s="77" t="s">
        <v>111</v>
      </c>
      <c r="E8" s="143">
        <f>VLOOKUP('3. Cost-benefit analysis'!D8,'2. Implementation rate'!$G$28:$H$30,2,0)</f>
        <v>5000</v>
      </c>
      <c r="F8" s="78" t="s">
        <v>109</v>
      </c>
      <c r="H8" s="19" t="s">
        <v>20</v>
      </c>
      <c r="I8" s="126">
        <v>5000</v>
      </c>
      <c r="J8" s="19" t="s">
        <v>25</v>
      </c>
      <c r="O8" s="20"/>
      <c r="P8" s="31"/>
      <c r="Q8" s="21"/>
    </row>
    <row r="9" spans="1:34" s="19" customFormat="1" x14ac:dyDescent="0.2">
      <c r="C9" s="80" t="s">
        <v>97</v>
      </c>
      <c r="D9" s="116">
        <v>0.05</v>
      </c>
      <c r="E9" s="144">
        <f>D9</f>
        <v>0.05</v>
      </c>
      <c r="F9" s="78" t="s">
        <v>109</v>
      </c>
      <c r="G9" s="81"/>
      <c r="H9" s="19" t="s">
        <v>23</v>
      </c>
      <c r="I9" s="126">
        <v>75000</v>
      </c>
      <c r="J9" s="19" t="s">
        <v>25</v>
      </c>
      <c r="O9" s="20"/>
      <c r="P9" s="31"/>
      <c r="Q9" s="21"/>
    </row>
    <row r="10" spans="1:34" s="19" customFormat="1" x14ac:dyDescent="0.2">
      <c r="H10" s="19" t="s">
        <v>28</v>
      </c>
      <c r="I10" s="126">
        <v>20000</v>
      </c>
      <c r="J10" s="19" t="s">
        <v>25</v>
      </c>
      <c r="O10" s="20"/>
      <c r="P10" s="31"/>
      <c r="Q10" s="21"/>
    </row>
    <row r="11" spans="1:34" s="19" customFormat="1" x14ac:dyDescent="0.2">
      <c r="F11" s="81"/>
      <c r="G11" s="81"/>
      <c r="H11" s="19" t="s">
        <v>24</v>
      </c>
      <c r="I11" s="125">
        <v>2</v>
      </c>
      <c r="J11" s="19" t="s">
        <v>42</v>
      </c>
      <c r="O11" s="20"/>
      <c r="P11" s="31"/>
      <c r="Q11" s="21"/>
    </row>
    <row r="12" spans="1:34" s="19" customFormat="1" x14ac:dyDescent="0.2">
      <c r="B12" s="19" t="s">
        <v>9</v>
      </c>
      <c r="C12" s="19" t="s">
        <v>91</v>
      </c>
      <c r="D12" s="22"/>
      <c r="F12" s="19" t="s">
        <v>92</v>
      </c>
      <c r="H12" s="19" t="s">
        <v>21</v>
      </c>
      <c r="I12" s="126">
        <v>15000</v>
      </c>
      <c r="J12" s="19" t="s">
        <v>89</v>
      </c>
      <c r="O12" s="20"/>
      <c r="P12" s="31"/>
      <c r="Q12" s="21"/>
    </row>
    <row r="13" spans="1:34" s="19" customFormat="1" x14ac:dyDescent="0.2">
      <c r="A13" t="str">
        <f t="shared" ref="A13:A27" si="0">+CONCATENATE(B47,"-",$D$8)</f>
        <v>1-Medium scenario</v>
      </c>
      <c r="B13" s="102">
        <v>1</v>
      </c>
      <c r="C13" s="82">
        <v>2024</v>
      </c>
      <c r="D13" s="83">
        <f>+VLOOKUP(A13,'2. Implementation rate'!$A$27:$D$72,4,0)</f>
        <v>5000</v>
      </c>
      <c r="E13" s="19" t="s">
        <v>126</v>
      </c>
      <c r="F13" s="84">
        <f>D13</f>
        <v>5000</v>
      </c>
      <c r="G13" s="84"/>
      <c r="H13" s="19" t="s">
        <v>22</v>
      </c>
      <c r="I13" s="126">
        <v>15000</v>
      </c>
      <c r="J13" s="19" t="s">
        <v>89</v>
      </c>
      <c r="O13" s="20"/>
      <c r="P13" s="31"/>
      <c r="Q13" s="21"/>
    </row>
    <row r="14" spans="1:34" s="19" customFormat="1" x14ac:dyDescent="0.2">
      <c r="A14" t="str">
        <f t="shared" si="0"/>
        <v>2-Medium scenario</v>
      </c>
      <c r="B14" s="102">
        <v>2</v>
      </c>
      <c r="C14" s="19">
        <f>C13+1</f>
        <v>2025</v>
      </c>
      <c r="D14" s="83">
        <f>+VLOOKUP(A14,'2. Implementation rate'!$A$27:$D$72,4,0)</f>
        <v>9750</v>
      </c>
      <c r="E14" s="19" t="s">
        <v>126</v>
      </c>
      <c r="F14" s="84">
        <f>F13+$D$13</f>
        <v>10000</v>
      </c>
      <c r="G14" s="84"/>
      <c r="H14" s="19" t="s">
        <v>18</v>
      </c>
      <c r="I14" s="155">
        <v>0.15</v>
      </c>
      <c r="J14" s="19" t="s">
        <v>26</v>
      </c>
      <c r="O14" s="20"/>
      <c r="P14" s="31"/>
      <c r="Q14" s="21"/>
    </row>
    <row r="15" spans="1:34" s="19" customFormat="1" x14ac:dyDescent="0.2">
      <c r="A15" t="str">
        <f t="shared" si="0"/>
        <v>3-Medium scenario</v>
      </c>
      <c r="B15" s="102">
        <v>3</v>
      </c>
      <c r="C15" s="19">
        <f t="shared" ref="C15:C27" si="1">C14+1</f>
        <v>2026</v>
      </c>
      <c r="D15" s="83">
        <f>+VLOOKUP(A15,'2. Implementation rate'!$A$27:$D$72,4,0)</f>
        <v>14262.5</v>
      </c>
      <c r="E15" s="19" t="s">
        <v>126</v>
      </c>
      <c r="F15" s="84">
        <f t="shared" ref="F15:F17" si="2">F14+$D$13</f>
        <v>15000</v>
      </c>
      <c r="G15" s="84"/>
      <c r="I15" s="23"/>
      <c r="O15" s="20"/>
      <c r="P15" s="31"/>
      <c r="Q15" s="21"/>
    </row>
    <row r="16" spans="1:34" s="19" customFormat="1" x14ac:dyDescent="0.2">
      <c r="A16" t="str">
        <f t="shared" si="0"/>
        <v>4-Medium scenario</v>
      </c>
      <c r="B16" s="102">
        <v>4</v>
      </c>
      <c r="C16" s="19">
        <f t="shared" si="1"/>
        <v>2027</v>
      </c>
      <c r="D16" s="83">
        <f>+VLOOKUP(A16,'2. Implementation rate'!$A$27:$D$72,4,0)</f>
        <v>18549.375</v>
      </c>
      <c r="E16" s="19" t="s">
        <v>126</v>
      </c>
      <c r="F16" s="84">
        <f t="shared" si="2"/>
        <v>20000</v>
      </c>
      <c r="G16" s="84"/>
      <c r="I16" s="23"/>
      <c r="O16" s="20"/>
      <c r="P16" s="31"/>
      <c r="Q16" s="21"/>
    </row>
    <row r="17" spans="1:17" s="19" customFormat="1" x14ac:dyDescent="0.2">
      <c r="A17" t="str">
        <f t="shared" si="0"/>
        <v>5-Medium scenario</v>
      </c>
      <c r="B17" s="102">
        <v>5</v>
      </c>
      <c r="C17" s="19">
        <f t="shared" si="1"/>
        <v>2028</v>
      </c>
      <c r="D17" s="83">
        <f>+VLOOKUP(A17,'2. Implementation rate'!$A$27:$D$72,4,0)</f>
        <v>22621.90625</v>
      </c>
      <c r="E17" s="19" t="s">
        <v>126</v>
      </c>
      <c r="F17" s="84">
        <f t="shared" si="2"/>
        <v>25000</v>
      </c>
      <c r="G17" s="84"/>
      <c r="I17" s="81"/>
      <c r="O17" s="20"/>
      <c r="P17" s="31"/>
      <c r="Q17" s="21"/>
    </row>
    <row r="18" spans="1:17" s="19" customFormat="1" x14ac:dyDescent="0.2">
      <c r="A18" t="str">
        <f t="shared" si="0"/>
        <v>6-Medium scenario</v>
      </c>
      <c r="B18" s="102">
        <v>6</v>
      </c>
      <c r="C18" s="19">
        <f t="shared" si="1"/>
        <v>2029</v>
      </c>
      <c r="D18" s="83">
        <f>+VLOOKUP(A18,'2. Implementation rate'!$A$27:$D$72,4,0)</f>
        <v>21490.810937499999</v>
      </c>
      <c r="E18" s="19" t="s">
        <v>126</v>
      </c>
      <c r="F18" s="84">
        <v>0</v>
      </c>
      <c r="G18" s="84"/>
      <c r="H18" s="7" t="s">
        <v>58</v>
      </c>
      <c r="O18" s="20"/>
      <c r="P18" s="31"/>
      <c r="Q18" s="24"/>
    </row>
    <row r="19" spans="1:17" s="19" customFormat="1" x14ac:dyDescent="0.2">
      <c r="A19" t="str">
        <f t="shared" si="0"/>
        <v>7-Medium scenario</v>
      </c>
      <c r="B19" s="102">
        <v>7</v>
      </c>
      <c r="C19" s="19">
        <f t="shared" si="1"/>
        <v>2030</v>
      </c>
      <c r="D19" s="83">
        <f>+VLOOKUP(A19,'2. Implementation rate'!$A$27:$D$72,4,0)</f>
        <v>20416.270390624999</v>
      </c>
      <c r="E19" s="19" t="s">
        <v>126</v>
      </c>
      <c r="F19" s="84">
        <v>0</v>
      </c>
      <c r="G19" s="84"/>
      <c r="H19" s="78" t="s">
        <v>122</v>
      </c>
      <c r="P19" s="31"/>
      <c r="Q19" s="21"/>
    </row>
    <row r="20" spans="1:17" s="19" customFormat="1" x14ac:dyDescent="0.2">
      <c r="A20" t="str">
        <f t="shared" si="0"/>
        <v>8-Medium scenario</v>
      </c>
      <c r="B20" s="102">
        <v>8</v>
      </c>
      <c r="C20" s="19">
        <f t="shared" si="1"/>
        <v>2031</v>
      </c>
      <c r="D20" s="83">
        <f>+VLOOKUP(A20,'2. Implementation rate'!$A$27:$D$72,4,0)</f>
        <v>19395.456871093749</v>
      </c>
      <c r="E20" s="19" t="s">
        <v>126</v>
      </c>
      <c r="F20" s="84">
        <v>0</v>
      </c>
      <c r="G20" s="84"/>
      <c r="H20" s="78" t="s">
        <v>121</v>
      </c>
      <c r="P20" s="31"/>
      <c r="Q20" s="21"/>
    </row>
    <row r="21" spans="1:17" s="19" customFormat="1" x14ac:dyDescent="0.2">
      <c r="A21" t="str">
        <f t="shared" si="0"/>
        <v>9-Medium scenario</v>
      </c>
      <c r="B21" s="102">
        <v>9</v>
      </c>
      <c r="C21" s="19">
        <f t="shared" si="1"/>
        <v>2032</v>
      </c>
      <c r="D21" s="83">
        <f>+VLOOKUP(A21,'2. Implementation rate'!$A$27:$D$72,4,0)</f>
        <v>18425.684027539064</v>
      </c>
      <c r="E21" s="19" t="s">
        <v>126</v>
      </c>
      <c r="F21" s="84">
        <v>0</v>
      </c>
      <c r="G21" s="84"/>
      <c r="H21" s="78" t="s">
        <v>99</v>
      </c>
      <c r="P21" s="31"/>
      <c r="Q21" s="21"/>
    </row>
    <row r="22" spans="1:17" s="19" customFormat="1" x14ac:dyDescent="0.2">
      <c r="A22" t="str">
        <f t="shared" si="0"/>
        <v>10-Medium scenario</v>
      </c>
      <c r="B22" s="102">
        <v>10</v>
      </c>
      <c r="C22" s="19">
        <f t="shared" si="1"/>
        <v>2033</v>
      </c>
      <c r="D22" s="83">
        <f>+VLOOKUP(A22,'2. Implementation rate'!$A$27:$D$72,4,0)</f>
        <v>17504.399826162105</v>
      </c>
      <c r="E22" s="19" t="s">
        <v>126</v>
      </c>
      <c r="F22" s="84">
        <v>0</v>
      </c>
      <c r="G22" s="84"/>
      <c r="P22" s="31"/>
      <c r="Q22" s="21"/>
    </row>
    <row r="23" spans="1:17" s="19" customFormat="1" x14ac:dyDescent="0.2">
      <c r="A23" t="str">
        <f t="shared" si="0"/>
        <v>11-Medium scenario</v>
      </c>
      <c r="B23" s="102">
        <v>11</v>
      </c>
      <c r="C23" s="19">
        <f t="shared" si="1"/>
        <v>2034</v>
      </c>
      <c r="D23" s="83">
        <f>+VLOOKUP(A23,'2. Implementation rate'!$A$27:$D$72,4,0)</f>
        <v>16629.179834854</v>
      </c>
      <c r="E23" s="19" t="s">
        <v>126</v>
      </c>
      <c r="F23" s="84">
        <v>0</v>
      </c>
      <c r="G23" s="84"/>
      <c r="P23" s="31"/>
      <c r="Q23" s="21"/>
    </row>
    <row r="24" spans="1:17" s="19" customFormat="1" x14ac:dyDescent="0.2">
      <c r="A24" t="str">
        <f t="shared" si="0"/>
        <v>12-Medium scenario</v>
      </c>
      <c r="B24" s="102">
        <v>12</v>
      </c>
      <c r="C24" s="19">
        <f t="shared" si="1"/>
        <v>2035</v>
      </c>
      <c r="D24" s="83">
        <f>+VLOOKUP(A24,'2. Implementation rate'!$A$27:$D$72,4,0)</f>
        <v>15797.720843111299</v>
      </c>
      <c r="E24" s="19" t="s">
        <v>126</v>
      </c>
      <c r="F24" s="84">
        <v>0</v>
      </c>
      <c r="G24" s="84"/>
      <c r="P24" s="31"/>
      <c r="Q24" s="21"/>
    </row>
    <row r="25" spans="1:17" s="19" customFormat="1" x14ac:dyDescent="0.2">
      <c r="A25" t="str">
        <f t="shared" si="0"/>
        <v>13-Medium scenario</v>
      </c>
      <c r="B25" s="102">
        <v>13</v>
      </c>
      <c r="C25" s="19">
        <f t="shared" si="1"/>
        <v>2036</v>
      </c>
      <c r="D25" s="83">
        <f>+VLOOKUP(A25,'2. Implementation rate'!$A$27:$D$72,4,0)</f>
        <v>15007.834800955734</v>
      </c>
      <c r="E25" s="19" t="s">
        <v>126</v>
      </c>
      <c r="F25" s="84">
        <v>0</v>
      </c>
      <c r="G25" s="84"/>
      <c r="P25" s="31"/>
      <c r="Q25" s="21"/>
    </row>
    <row r="26" spans="1:17" s="19" customFormat="1" x14ac:dyDescent="0.2">
      <c r="A26" t="str">
        <f t="shared" si="0"/>
        <v>14-Medium scenario</v>
      </c>
      <c r="B26" s="102">
        <v>14</v>
      </c>
      <c r="C26" s="19">
        <f t="shared" si="1"/>
        <v>2037</v>
      </c>
      <c r="D26" s="83">
        <f>+VLOOKUP(A26,'2. Implementation rate'!$A$27:$D$72,4,0)</f>
        <v>14257.443060907946</v>
      </c>
      <c r="E26" s="19" t="s">
        <v>126</v>
      </c>
      <c r="F26" s="84">
        <v>0</v>
      </c>
      <c r="G26" s="84"/>
      <c r="P26" s="31"/>
      <c r="Q26" s="21"/>
    </row>
    <row r="27" spans="1:17" s="19" customFormat="1" x14ac:dyDescent="0.2">
      <c r="A27" t="str">
        <f t="shared" si="0"/>
        <v>15-Medium scenario</v>
      </c>
      <c r="B27" s="102">
        <v>15</v>
      </c>
      <c r="C27" s="19">
        <f t="shared" si="1"/>
        <v>2038</v>
      </c>
      <c r="D27" s="83">
        <f>+VLOOKUP(A27,'2. Implementation rate'!$A$27:$D$72,4,0)</f>
        <v>13544.570907862548</v>
      </c>
      <c r="E27" s="19" t="s">
        <v>126</v>
      </c>
      <c r="F27" s="84">
        <v>0</v>
      </c>
      <c r="G27" s="84"/>
      <c r="P27" s="31"/>
      <c r="Q27" s="21"/>
    </row>
    <row r="28" spans="1:17" s="19" customFormat="1" x14ac:dyDescent="0.2">
      <c r="D28" s="84"/>
      <c r="F28" s="84"/>
      <c r="G28" s="84"/>
      <c r="P28" s="31"/>
      <c r="Q28" s="21"/>
    </row>
    <row r="29" spans="1:17" s="19" customFormat="1" x14ac:dyDescent="0.2">
      <c r="C29" s="85"/>
      <c r="D29" s="84"/>
      <c r="F29" s="86"/>
      <c r="G29" s="86"/>
      <c r="P29" s="31"/>
      <c r="Q29" s="21"/>
    </row>
    <row r="30" spans="1:17" s="19" customFormat="1" x14ac:dyDescent="0.2">
      <c r="B30" s="96" t="s">
        <v>74</v>
      </c>
      <c r="C30" s="97" t="s">
        <v>124</v>
      </c>
      <c r="D30" s="98"/>
      <c r="F30" s="86"/>
      <c r="G30" s="86"/>
      <c r="H30" s="96" t="s">
        <v>75</v>
      </c>
      <c r="I30" s="97" t="s">
        <v>61</v>
      </c>
      <c r="J30" s="98"/>
      <c r="K30" s="96"/>
    </row>
    <row r="31" spans="1:17" s="19" customFormat="1" x14ac:dyDescent="0.2">
      <c r="C31" s="19" t="s">
        <v>142</v>
      </c>
      <c r="D31" s="125">
        <v>10</v>
      </c>
      <c r="E31" s="19" t="s">
        <v>125</v>
      </c>
      <c r="H31" s="19" t="s">
        <v>145</v>
      </c>
      <c r="I31" s="129">
        <v>30</v>
      </c>
      <c r="J31" s="19" t="s">
        <v>79</v>
      </c>
    </row>
    <row r="32" spans="1:17" s="19" customFormat="1" x14ac:dyDescent="0.2">
      <c r="C32" s="19" t="s">
        <v>143</v>
      </c>
      <c r="D32" s="125">
        <v>20</v>
      </c>
      <c r="E32" s="19" t="s">
        <v>125</v>
      </c>
      <c r="H32" s="19" t="s">
        <v>146</v>
      </c>
      <c r="I32" s="129">
        <v>50</v>
      </c>
      <c r="J32" s="19" t="s">
        <v>79</v>
      </c>
    </row>
    <row r="33" spans="1:57" s="19" customFormat="1" x14ac:dyDescent="0.2">
      <c r="C33" s="19" t="s">
        <v>144</v>
      </c>
      <c r="D33" s="125">
        <v>30</v>
      </c>
      <c r="E33" s="19" t="s">
        <v>125</v>
      </c>
      <c r="H33" s="19" t="s">
        <v>147</v>
      </c>
      <c r="I33" s="129">
        <v>70</v>
      </c>
      <c r="J33" s="19" t="s">
        <v>79</v>
      </c>
    </row>
    <row r="34" spans="1:57" s="19" customFormat="1" x14ac:dyDescent="0.2">
      <c r="D34" s="115"/>
    </row>
    <row r="35" spans="1:57" s="19" customFormat="1" ht="30.5" customHeight="1" x14ac:dyDescent="0.2">
      <c r="C35" s="160" t="s">
        <v>95</v>
      </c>
      <c r="D35" s="160"/>
      <c r="E35" s="160"/>
      <c r="H35" s="160" t="s">
        <v>80</v>
      </c>
      <c r="I35" s="160"/>
      <c r="J35" s="160"/>
      <c r="K35" s="160"/>
    </row>
    <row r="36" spans="1:57" s="19" customFormat="1" x14ac:dyDescent="0.2">
      <c r="D36" s="25"/>
    </row>
    <row r="37" spans="1:57" s="19" customFormat="1" x14ac:dyDescent="0.2">
      <c r="D37" s="25"/>
    </row>
    <row r="38" spans="1:57" s="19" customFormat="1" x14ac:dyDescent="0.2">
      <c r="D38" s="25"/>
    </row>
    <row r="39" spans="1:57" s="19" customFormat="1" x14ac:dyDescent="0.2">
      <c r="B39" s="99"/>
      <c r="C39" s="95" t="s">
        <v>76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57" s="19" customFormat="1" x14ac:dyDescent="0.2">
      <c r="F40" s="26"/>
      <c r="G40" s="26"/>
      <c r="H40" s="5" t="s">
        <v>71</v>
      </c>
      <c r="I40" s="93"/>
      <c r="J40" s="92"/>
      <c r="K40" s="5"/>
      <c r="L40" s="26"/>
      <c r="M40" s="26"/>
      <c r="N40" s="5" t="s">
        <v>72</v>
      </c>
      <c r="O40" s="93"/>
      <c r="P40" s="92"/>
      <c r="Q40" s="5"/>
      <c r="T40" s="107" t="s">
        <v>78</v>
      </c>
      <c r="U40" s="106"/>
      <c r="V40" s="107"/>
      <c r="W40" s="108"/>
      <c r="X40" s="108"/>
      <c r="Y40" s="108"/>
      <c r="Z40" s="106"/>
      <c r="AA40" s="106"/>
      <c r="AB40" s="106"/>
      <c r="AC40" s="107"/>
      <c r="AD40" s="109"/>
      <c r="AE40" s="110"/>
      <c r="AF40" s="111"/>
      <c r="AG40" s="111"/>
      <c r="AH40" s="111"/>
      <c r="AI40" s="32"/>
      <c r="AJ40" s="26"/>
      <c r="AK40" s="26"/>
      <c r="AL40" s="26"/>
      <c r="AP40" s="7"/>
      <c r="AQ40" s="26"/>
      <c r="AR40" s="26"/>
      <c r="AS40" s="26"/>
      <c r="AW40" s="7"/>
      <c r="AX40" s="26"/>
      <c r="AY40" s="26"/>
      <c r="AZ40" s="26"/>
      <c r="BD40" s="7"/>
      <c r="BE40" s="26"/>
    </row>
    <row r="41" spans="1:57" x14ac:dyDescent="0.2">
      <c r="Q41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</row>
    <row r="42" spans="1:57" x14ac:dyDescent="0.2">
      <c r="Q42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</row>
    <row r="43" spans="1:57" x14ac:dyDescent="0.2">
      <c r="C43" s="33" t="s">
        <v>65</v>
      </c>
      <c r="D43" s="35"/>
      <c r="I43" s="33" t="s">
        <v>148</v>
      </c>
      <c r="K43" s="19"/>
      <c r="L43" s="19"/>
      <c r="M43" s="19"/>
      <c r="O43" s="33" t="s">
        <v>148</v>
      </c>
      <c r="T43" s="106"/>
      <c r="U43" s="107" t="s">
        <v>66</v>
      </c>
      <c r="V43" s="106"/>
      <c r="W43" s="106"/>
      <c r="X43" s="106"/>
      <c r="Y43" s="107" t="s">
        <v>90</v>
      </c>
      <c r="Z43" s="106"/>
      <c r="AA43" s="107"/>
      <c r="AB43" s="106"/>
      <c r="AC43" s="106"/>
      <c r="AD43" s="106"/>
      <c r="AE43" s="107" t="s">
        <v>69</v>
      </c>
      <c r="AF43" s="106"/>
      <c r="AG43" s="106"/>
      <c r="AH43" s="106"/>
    </row>
    <row r="44" spans="1:57" ht="32" x14ac:dyDescent="0.2">
      <c r="C44" s="9" t="s">
        <v>87</v>
      </c>
      <c r="D44" s="137" t="str">
        <f>D7</f>
        <v>Low-Medium scenario</v>
      </c>
      <c r="I44" s="174" t="str">
        <f>AA44</f>
        <v>Carbon credit price (Scenario 1)</v>
      </c>
      <c r="J44" s="174" t="str">
        <f t="shared" ref="I44:K45" si="3">AB44</f>
        <v>Carbon credit price (Scenario 2)</v>
      </c>
      <c r="K44" s="174" t="str">
        <f t="shared" si="3"/>
        <v>Carbon credit price (Scenario 3)</v>
      </c>
      <c r="L44" s="19"/>
      <c r="M44" s="19"/>
      <c r="O44" s="174" t="str">
        <f t="shared" ref="O44:Q45" si="4">I44</f>
        <v>Carbon credit price (Scenario 1)</v>
      </c>
      <c r="P44" s="174" t="str">
        <f t="shared" si="4"/>
        <v>Carbon credit price (Scenario 2)</v>
      </c>
      <c r="Q44" s="174" t="str">
        <f t="shared" si="4"/>
        <v>Carbon credit price (Scenario 3)</v>
      </c>
      <c r="T44" s="106"/>
      <c r="U44" s="175" t="str">
        <f>C31</f>
        <v>Carbon credit price (Scenario 1)</v>
      </c>
      <c r="V44" s="175" t="str">
        <f>C32</f>
        <v>Carbon credit price (Scenario 2)</v>
      </c>
      <c r="W44" s="175" t="str">
        <f>C33</f>
        <v>Carbon credit price (Scenario 3)</v>
      </c>
      <c r="X44" s="106"/>
      <c r="Y44" s="107"/>
      <c r="Z44" s="106" t="s">
        <v>31</v>
      </c>
      <c r="AA44" s="175" t="str">
        <f>C31</f>
        <v>Carbon credit price (Scenario 1)</v>
      </c>
      <c r="AB44" s="175" t="str">
        <f>C32</f>
        <v>Carbon credit price (Scenario 2)</v>
      </c>
      <c r="AC44" s="175" t="str">
        <f>C33</f>
        <v>Carbon credit price (Scenario 3)</v>
      </c>
      <c r="AD44" s="106"/>
      <c r="AE44" s="112" t="str">
        <f>H31</f>
        <v>Cost (Scenario 1)</v>
      </c>
      <c r="AF44" s="112" t="str">
        <f>H32</f>
        <v>Cost (Scenario 2)</v>
      </c>
      <c r="AG44" s="112" t="str">
        <f>H33</f>
        <v>Cost (Scenario 3)</v>
      </c>
      <c r="AH44" s="106"/>
    </row>
    <row r="45" spans="1:57" x14ac:dyDescent="0.2">
      <c r="C45" s="9" t="s">
        <v>81</v>
      </c>
      <c r="D45" s="138">
        <f>VLOOKUP(D44,Tabelle5[[Emission reduction potential per stove ]:[Value]],2,0)</f>
        <v>2</v>
      </c>
      <c r="E45" s="35" t="s">
        <v>36</v>
      </c>
      <c r="I45" s="136">
        <f t="shared" si="3"/>
        <v>10</v>
      </c>
      <c r="J45" s="136">
        <f t="shared" si="3"/>
        <v>20</v>
      </c>
      <c r="K45" s="136">
        <f t="shared" si="3"/>
        <v>30</v>
      </c>
      <c r="L45" s="38"/>
      <c r="M45" s="38"/>
      <c r="O45" s="136">
        <f t="shared" si="4"/>
        <v>10</v>
      </c>
      <c r="P45" s="136">
        <f t="shared" si="4"/>
        <v>20</v>
      </c>
      <c r="Q45" s="136">
        <f t="shared" si="4"/>
        <v>30</v>
      </c>
      <c r="T45" s="106"/>
      <c r="U45" s="136">
        <f>D31</f>
        <v>10</v>
      </c>
      <c r="V45" s="136">
        <f>D32</f>
        <v>20</v>
      </c>
      <c r="W45" s="136">
        <f>D33</f>
        <v>30</v>
      </c>
      <c r="X45" s="106"/>
      <c r="Y45" s="132"/>
      <c r="Z45" s="132"/>
      <c r="AA45" s="135">
        <f t="shared" ref="AA44:AC45" si="5">U45</f>
        <v>10</v>
      </c>
      <c r="AB45" s="135">
        <f t="shared" si="5"/>
        <v>20</v>
      </c>
      <c r="AC45" s="135">
        <f t="shared" si="5"/>
        <v>30</v>
      </c>
      <c r="AD45" s="113"/>
      <c r="AE45" s="135">
        <f>I31</f>
        <v>30</v>
      </c>
      <c r="AF45" s="135">
        <f>I32</f>
        <v>50</v>
      </c>
      <c r="AG45" s="135">
        <f>I33</f>
        <v>70</v>
      </c>
      <c r="AH45" s="106"/>
    </row>
    <row r="46" spans="1:57" x14ac:dyDescent="0.2">
      <c r="A46" t="s">
        <v>40</v>
      </c>
      <c r="B46" s="117" t="s">
        <v>9</v>
      </c>
      <c r="C46" s="66">
        <v>2024</v>
      </c>
      <c r="D46" s="64">
        <v>0</v>
      </c>
      <c r="E46" t="s">
        <v>88</v>
      </c>
      <c r="H46" s="7">
        <f>C46</f>
        <v>2024</v>
      </c>
      <c r="I46" s="130">
        <f>U46+AA46</f>
        <v>-100000</v>
      </c>
      <c r="J46" s="130">
        <f t="shared" ref="J46:K46" si="6">V46+AB46</f>
        <v>-100000</v>
      </c>
      <c r="K46" s="130">
        <f t="shared" si="6"/>
        <v>-100000</v>
      </c>
      <c r="L46" s="36"/>
      <c r="M46" s="36"/>
      <c r="N46" s="7">
        <f t="shared" ref="N46:N61" si="7">H46</f>
        <v>2024</v>
      </c>
      <c r="O46" s="130">
        <f>U46+AA46+AE46</f>
        <v>-250000</v>
      </c>
      <c r="P46" s="130">
        <f t="shared" ref="P46:Q46" si="8">V46+AB46+AF46</f>
        <v>-350000</v>
      </c>
      <c r="Q46" s="130">
        <f t="shared" si="8"/>
        <v>-450000</v>
      </c>
      <c r="T46" s="106">
        <f>N46</f>
        <v>2024</v>
      </c>
      <c r="U46" s="132">
        <v>0</v>
      </c>
      <c r="V46" s="132">
        <v>0</v>
      </c>
      <c r="W46" s="132">
        <v>0</v>
      </c>
      <c r="X46" s="106"/>
      <c r="Y46" s="134">
        <f>-(I8+I9+I10)</f>
        <v>-100000</v>
      </c>
      <c r="Z46" s="132" t="s">
        <v>29</v>
      </c>
      <c r="AA46" s="132">
        <f>Y46</f>
        <v>-100000</v>
      </c>
      <c r="AB46" s="132">
        <f>Y46</f>
        <v>-100000</v>
      </c>
      <c r="AC46" s="132">
        <f>Y46</f>
        <v>-100000</v>
      </c>
      <c r="AD46" s="107">
        <f>T46</f>
        <v>2024</v>
      </c>
      <c r="AE46" s="132">
        <f>-(F13*$I$31)</f>
        <v>-150000</v>
      </c>
      <c r="AF46" s="132">
        <f>-(F13*$I$32)</f>
        <v>-250000</v>
      </c>
      <c r="AG46" s="132">
        <f>-(F13*$I$33)</f>
        <v>-350000</v>
      </c>
      <c r="AH46" s="106"/>
    </row>
    <row r="47" spans="1:57" x14ac:dyDescent="0.2">
      <c r="A47" s="82" t="str">
        <f t="shared" ref="A47:A61" si="9">+CONCATENATE(B47,"-",$D$8)</f>
        <v>1-Medium scenario</v>
      </c>
      <c r="B47" s="37">
        <v>1</v>
      </c>
      <c r="C47" s="33">
        <f>C14</f>
        <v>2025</v>
      </c>
      <c r="D47" s="64">
        <f>INDEX('B. ER outputs'!$E$25:$I$69,MATCH(A47,'B. ER outputs'!$A$25:$A$69,0),MATCH(D$7,'B. ER outputs'!$E$24:$I$24,0))</f>
        <v>10000</v>
      </c>
      <c r="E47" t="s">
        <v>88</v>
      </c>
      <c r="H47" s="7">
        <f t="shared" ref="H47:H61" si="10">C47</f>
        <v>2025</v>
      </c>
      <c r="I47" s="130">
        <f t="shared" ref="I47:I61" si="11">U47+AA47</f>
        <v>58500</v>
      </c>
      <c r="J47" s="130">
        <f t="shared" ref="J47:J61" si="12">V47+AB47</f>
        <v>158500</v>
      </c>
      <c r="K47" s="130">
        <f t="shared" ref="K47:K61" si="13">W47+AC47</f>
        <v>258500</v>
      </c>
      <c r="L47" s="36"/>
      <c r="M47" s="36"/>
      <c r="N47" s="7">
        <f t="shared" si="7"/>
        <v>2025</v>
      </c>
      <c r="O47" s="130">
        <f t="shared" ref="O47:O61" si="14">U47+AA47+AE47</f>
        <v>-91500</v>
      </c>
      <c r="P47" s="130">
        <f t="shared" ref="P47:P61" si="15">V47+AB47+AF47</f>
        <v>-91500</v>
      </c>
      <c r="Q47" s="130">
        <f>W47+AC47+AG47</f>
        <v>-91500</v>
      </c>
      <c r="T47" s="106">
        <f t="shared" ref="T47:T61" si="16">N47</f>
        <v>2025</v>
      </c>
      <c r="U47" s="132">
        <f t="shared" ref="U47:U61" si="17">(D47*$D$31)-(D47*$I$14)</f>
        <v>98500</v>
      </c>
      <c r="V47" s="132">
        <f t="shared" ref="V47:V61" si="18">(D47*$D$32)-(D47*$I$14)</f>
        <v>198500</v>
      </c>
      <c r="W47" s="132">
        <f t="shared" ref="W47:W61" si="19">(D47*$D$33)-(D47*$I$14)</f>
        <v>298500</v>
      </c>
      <c r="X47" s="106"/>
      <c r="Y47" s="134">
        <f t="shared" ref="Y47:Y61" si="20">-(D13*$I$11)+-($I$12+$I$13)</f>
        <v>-40000</v>
      </c>
      <c r="Z47" s="132" t="s">
        <v>30</v>
      </c>
      <c r="AA47" s="132">
        <f>Y47</f>
        <v>-40000</v>
      </c>
      <c r="AB47" s="132">
        <f>Y47</f>
        <v>-40000</v>
      </c>
      <c r="AC47" s="132">
        <f>Y47</f>
        <v>-40000</v>
      </c>
      <c r="AD47" s="107">
        <f t="shared" ref="AD47:AD60" si="21">T47</f>
        <v>2025</v>
      </c>
      <c r="AE47" s="132">
        <f>-(F14-F13)*$I$31</f>
        <v>-150000</v>
      </c>
      <c r="AF47" s="132">
        <f>-(F14-F13)*$I$32</f>
        <v>-250000</v>
      </c>
      <c r="AG47" s="132">
        <f>-(F14-F13)*$I$33</f>
        <v>-350000</v>
      </c>
      <c r="AH47" s="106"/>
    </row>
    <row r="48" spans="1:57" x14ac:dyDescent="0.2">
      <c r="A48" s="82" t="str">
        <f t="shared" si="9"/>
        <v>2-Medium scenario</v>
      </c>
      <c r="B48" s="37">
        <v>2</v>
      </c>
      <c r="C48" s="33">
        <f>C47+1</f>
        <v>2026</v>
      </c>
      <c r="D48" s="64">
        <f>INDEX('B. ER outputs'!$E$25:$I$69,MATCH(A48,'B. ER outputs'!$A$25:$A$69,0),MATCH(D$7,'B. ER outputs'!$E$24:$I$24,0))</f>
        <v>19500</v>
      </c>
      <c r="E48" t="s">
        <v>88</v>
      </c>
      <c r="H48" s="7">
        <f t="shared" si="10"/>
        <v>2026</v>
      </c>
      <c r="I48" s="130">
        <f>U48+AA48</f>
        <v>142575</v>
      </c>
      <c r="J48" s="130">
        <f t="shared" si="12"/>
        <v>337575</v>
      </c>
      <c r="K48" s="130">
        <f t="shared" si="13"/>
        <v>532575</v>
      </c>
      <c r="L48" s="36"/>
      <c r="M48" s="36"/>
      <c r="N48" s="7">
        <f t="shared" si="7"/>
        <v>2026</v>
      </c>
      <c r="O48" s="130">
        <f t="shared" si="14"/>
        <v>-7425</v>
      </c>
      <c r="P48" s="130">
        <f t="shared" si="15"/>
        <v>87575</v>
      </c>
      <c r="Q48" s="130">
        <f t="shared" ref="Q47:Q61" si="22">W48+AC48+AG48</f>
        <v>182575</v>
      </c>
      <c r="T48" s="106">
        <f t="shared" si="16"/>
        <v>2026</v>
      </c>
      <c r="U48" s="132">
        <f t="shared" si="17"/>
        <v>192075</v>
      </c>
      <c r="V48" s="132">
        <f t="shared" si="18"/>
        <v>387075</v>
      </c>
      <c r="W48" s="132">
        <f t="shared" si="19"/>
        <v>582075</v>
      </c>
      <c r="X48" s="106"/>
      <c r="Y48" s="134">
        <f t="shared" si="20"/>
        <v>-49500</v>
      </c>
      <c r="Z48" s="132" t="s">
        <v>30</v>
      </c>
      <c r="AA48" s="132">
        <f t="shared" ref="AA48:AA61" si="23">Y48</f>
        <v>-49500</v>
      </c>
      <c r="AB48" s="132">
        <f t="shared" ref="AB48:AB61" si="24">Y48</f>
        <v>-49500</v>
      </c>
      <c r="AC48" s="132">
        <f t="shared" ref="AC48:AC61" si="25">Y48</f>
        <v>-49500</v>
      </c>
      <c r="AD48" s="107">
        <f t="shared" si="21"/>
        <v>2026</v>
      </c>
      <c r="AE48" s="132">
        <f>-(F15-F14)*$I$31</f>
        <v>-150000</v>
      </c>
      <c r="AF48" s="132">
        <f>-(F15-F14)*$I$32</f>
        <v>-250000</v>
      </c>
      <c r="AG48" s="132">
        <f>-(F15-F14)*$I$33</f>
        <v>-350000</v>
      </c>
      <c r="AH48" s="106"/>
    </row>
    <row r="49" spans="1:34" x14ac:dyDescent="0.2">
      <c r="A49" s="82" t="str">
        <f t="shared" si="9"/>
        <v>3-Medium scenario</v>
      </c>
      <c r="B49" s="37">
        <v>3</v>
      </c>
      <c r="C49" s="33">
        <f t="shared" ref="C49:C61" si="26">C48+1</f>
        <v>2027</v>
      </c>
      <c r="D49" s="64">
        <f>INDEX('B. ER outputs'!$E$25:$I$69,MATCH(A49,'B. ER outputs'!$A$25:$A$69,0),MATCH(D$7,'B. ER outputs'!$E$24:$I$24,0))</f>
        <v>28525</v>
      </c>
      <c r="E49" t="s">
        <v>88</v>
      </c>
      <c r="H49" s="7">
        <f t="shared" si="10"/>
        <v>2027</v>
      </c>
      <c r="I49" s="130">
        <f t="shared" si="11"/>
        <v>222446.25</v>
      </c>
      <c r="J49" s="130">
        <f t="shared" si="12"/>
        <v>507696.25</v>
      </c>
      <c r="K49" s="130">
        <f t="shared" si="13"/>
        <v>792946.25</v>
      </c>
      <c r="L49" s="36"/>
      <c r="M49" s="36"/>
      <c r="N49" s="7">
        <f t="shared" si="7"/>
        <v>2027</v>
      </c>
      <c r="O49" s="130">
        <f t="shared" si="14"/>
        <v>72446.25</v>
      </c>
      <c r="P49" s="130">
        <f t="shared" si="15"/>
        <v>257696.25</v>
      </c>
      <c r="Q49" s="130">
        <f t="shared" si="22"/>
        <v>442946.25</v>
      </c>
      <c r="T49" s="106">
        <f t="shared" si="16"/>
        <v>2027</v>
      </c>
      <c r="U49" s="132">
        <f>(D49*$D$31)-(D49*$I$14)</f>
        <v>280971.25</v>
      </c>
      <c r="V49" s="132">
        <f t="shared" si="18"/>
        <v>566221.25</v>
      </c>
      <c r="W49" s="132">
        <f t="shared" si="19"/>
        <v>851471.25</v>
      </c>
      <c r="X49" s="106"/>
      <c r="Y49" s="134">
        <f t="shared" si="20"/>
        <v>-58525</v>
      </c>
      <c r="Z49" s="132" t="s">
        <v>30</v>
      </c>
      <c r="AA49" s="132">
        <f t="shared" si="23"/>
        <v>-58525</v>
      </c>
      <c r="AB49" s="132">
        <f t="shared" si="24"/>
        <v>-58525</v>
      </c>
      <c r="AC49" s="132">
        <f t="shared" si="25"/>
        <v>-58525</v>
      </c>
      <c r="AD49" s="107">
        <f t="shared" si="21"/>
        <v>2027</v>
      </c>
      <c r="AE49" s="132">
        <f>-(F16-F15)*$I$31</f>
        <v>-150000</v>
      </c>
      <c r="AF49" s="132">
        <f>-(F16-F15)*$I$32</f>
        <v>-250000</v>
      </c>
      <c r="AG49" s="132">
        <f>-(F16-F15)*$I$33</f>
        <v>-350000</v>
      </c>
      <c r="AH49" s="106"/>
    </row>
    <row r="50" spans="1:34" x14ac:dyDescent="0.2">
      <c r="A50" s="82" t="str">
        <f t="shared" si="9"/>
        <v>4-Medium scenario</v>
      </c>
      <c r="B50" s="37">
        <v>4</v>
      </c>
      <c r="C50" s="33">
        <f t="shared" si="26"/>
        <v>2028</v>
      </c>
      <c r="D50" s="64">
        <f>INDEX('B. ER outputs'!$E$25:$I$69,MATCH(A50,'B. ER outputs'!$A$25:$A$69,0),MATCH(D$7,'B. ER outputs'!$E$24:$I$24,0))</f>
        <v>37098.75</v>
      </c>
      <c r="E50" t="s">
        <v>88</v>
      </c>
      <c r="H50" s="7">
        <f t="shared" si="10"/>
        <v>2028</v>
      </c>
      <c r="I50" s="130">
        <f t="shared" si="11"/>
        <v>298323.9375</v>
      </c>
      <c r="J50" s="130">
        <f t="shared" si="12"/>
        <v>669311.4375</v>
      </c>
      <c r="K50" s="130">
        <f t="shared" si="13"/>
        <v>1040298.9375</v>
      </c>
      <c r="L50" s="36"/>
      <c r="M50" s="36"/>
      <c r="N50" s="7">
        <f t="shared" si="7"/>
        <v>2028</v>
      </c>
      <c r="O50" s="130">
        <f t="shared" si="14"/>
        <v>148323.9375</v>
      </c>
      <c r="P50" s="130">
        <f t="shared" si="15"/>
        <v>419311.4375</v>
      </c>
      <c r="Q50" s="130">
        <f t="shared" si="22"/>
        <v>690298.9375</v>
      </c>
      <c r="T50" s="106">
        <f t="shared" si="16"/>
        <v>2028</v>
      </c>
      <c r="U50" s="132">
        <f t="shared" si="17"/>
        <v>365422.6875</v>
      </c>
      <c r="V50" s="132">
        <f t="shared" si="18"/>
        <v>736410.1875</v>
      </c>
      <c r="W50" s="132">
        <f t="shared" si="19"/>
        <v>1107397.6875</v>
      </c>
      <c r="X50" s="106"/>
      <c r="Y50" s="134">
        <f t="shared" si="20"/>
        <v>-67098.75</v>
      </c>
      <c r="Z50" s="132" t="s">
        <v>30</v>
      </c>
      <c r="AA50" s="132">
        <f t="shared" si="23"/>
        <v>-67098.75</v>
      </c>
      <c r="AB50" s="132">
        <f t="shared" si="24"/>
        <v>-67098.75</v>
      </c>
      <c r="AC50" s="132">
        <f t="shared" si="25"/>
        <v>-67098.75</v>
      </c>
      <c r="AD50" s="107">
        <f t="shared" si="21"/>
        <v>2028</v>
      </c>
      <c r="AE50" s="132">
        <f>-(F17-F16)*$I$31</f>
        <v>-150000</v>
      </c>
      <c r="AF50" s="132">
        <f>-(F17-F16)*$I$32</f>
        <v>-250000</v>
      </c>
      <c r="AG50" s="132">
        <f>-(F17-F16)*$I$33</f>
        <v>-350000</v>
      </c>
      <c r="AH50" s="106"/>
    </row>
    <row r="51" spans="1:34" x14ac:dyDescent="0.2">
      <c r="A51" s="82" t="str">
        <f t="shared" si="9"/>
        <v>5-Medium scenario</v>
      </c>
      <c r="B51" s="37">
        <v>5</v>
      </c>
      <c r="C51" s="33">
        <f t="shared" si="26"/>
        <v>2029</v>
      </c>
      <c r="D51" s="64">
        <f>INDEX('B. ER outputs'!$E$25:$I$69,MATCH(A51,'B. ER outputs'!$A$25:$A$69,0),MATCH(D$7,'B. ER outputs'!$E$24:$I$24,0))</f>
        <v>45243.8125</v>
      </c>
      <c r="E51" t="s">
        <v>88</v>
      </c>
      <c r="H51" s="7">
        <f t="shared" si="10"/>
        <v>2029</v>
      </c>
      <c r="I51" s="130">
        <f t="shared" si="11"/>
        <v>370407.74062499998</v>
      </c>
      <c r="J51" s="130">
        <f t="shared" si="12"/>
        <v>822845.86562499998</v>
      </c>
      <c r="K51" s="130">
        <f t="shared" si="13"/>
        <v>1275283.9906250001</v>
      </c>
      <c r="L51" s="36"/>
      <c r="M51" s="36"/>
      <c r="N51" s="7">
        <f t="shared" si="7"/>
        <v>2029</v>
      </c>
      <c r="O51" s="130">
        <f t="shared" si="14"/>
        <v>370407.74062499998</v>
      </c>
      <c r="P51" s="130">
        <f t="shared" si="15"/>
        <v>822845.86562499998</v>
      </c>
      <c r="Q51" s="130">
        <f t="shared" si="22"/>
        <v>1275283.9906250001</v>
      </c>
      <c r="T51" s="106">
        <f t="shared" si="16"/>
        <v>2029</v>
      </c>
      <c r="U51" s="132">
        <f t="shared" si="17"/>
        <v>445651.55312499998</v>
      </c>
      <c r="V51" s="132">
        <f t="shared" si="18"/>
        <v>898089.67812499998</v>
      </c>
      <c r="W51" s="132">
        <f t="shared" si="19"/>
        <v>1350527.8031250001</v>
      </c>
      <c r="X51" s="106"/>
      <c r="Y51" s="134">
        <f t="shared" si="20"/>
        <v>-75243.8125</v>
      </c>
      <c r="Z51" s="132" t="s">
        <v>30</v>
      </c>
      <c r="AA51" s="132">
        <f t="shared" si="23"/>
        <v>-75243.8125</v>
      </c>
      <c r="AB51" s="132">
        <f t="shared" si="24"/>
        <v>-75243.8125</v>
      </c>
      <c r="AC51" s="132">
        <f t="shared" si="25"/>
        <v>-75243.8125</v>
      </c>
      <c r="AD51" s="107">
        <f t="shared" si="21"/>
        <v>2029</v>
      </c>
      <c r="AE51" s="132">
        <v>0</v>
      </c>
      <c r="AF51" s="132">
        <v>0</v>
      </c>
      <c r="AG51" s="132">
        <v>0</v>
      </c>
      <c r="AH51" s="106"/>
    </row>
    <row r="52" spans="1:34" x14ac:dyDescent="0.2">
      <c r="A52" s="82" t="str">
        <f t="shared" si="9"/>
        <v>6-Medium scenario</v>
      </c>
      <c r="B52" s="37">
        <v>6</v>
      </c>
      <c r="C52" s="33">
        <f t="shared" si="26"/>
        <v>2030</v>
      </c>
      <c r="D52" s="64">
        <f>INDEX('B. ER outputs'!$E$25:$I$69,MATCH(A52,'B. ER outputs'!$A$25:$A$69,0),MATCH(D$7,'B. ER outputs'!$E$24:$I$24,0))</f>
        <v>42981.621874999997</v>
      </c>
      <c r="E52" t="s">
        <v>88</v>
      </c>
      <c r="H52" s="7">
        <f t="shared" si="10"/>
        <v>2030</v>
      </c>
      <c r="I52" s="130">
        <f t="shared" si="11"/>
        <v>350387.35359374998</v>
      </c>
      <c r="J52" s="130">
        <f t="shared" si="12"/>
        <v>780203.57234375004</v>
      </c>
      <c r="K52" s="130">
        <f t="shared" si="13"/>
        <v>1210019.7910937502</v>
      </c>
      <c r="L52" s="36"/>
      <c r="M52" s="36"/>
      <c r="N52" s="7">
        <f t="shared" si="7"/>
        <v>2030</v>
      </c>
      <c r="O52" s="130">
        <f>U52+AA52+AE52</f>
        <v>350387.35359374998</v>
      </c>
      <c r="P52" s="130">
        <f>V52+AB52+AF52</f>
        <v>780203.57234375004</v>
      </c>
      <c r="Q52" s="130">
        <f t="shared" si="22"/>
        <v>1210019.7910937502</v>
      </c>
      <c r="T52" s="106">
        <f t="shared" si="16"/>
        <v>2030</v>
      </c>
      <c r="U52" s="132">
        <f t="shared" si="17"/>
        <v>423368.97546875</v>
      </c>
      <c r="V52" s="132">
        <f t="shared" si="18"/>
        <v>853185.19421875</v>
      </c>
      <c r="W52" s="132">
        <f t="shared" si="19"/>
        <v>1283001.4129687501</v>
      </c>
      <c r="X52" s="106"/>
      <c r="Y52" s="134">
        <f t="shared" si="20"/>
        <v>-72981.621874999997</v>
      </c>
      <c r="Z52" s="132" t="s">
        <v>30</v>
      </c>
      <c r="AA52" s="132">
        <f t="shared" si="23"/>
        <v>-72981.621874999997</v>
      </c>
      <c r="AB52" s="132">
        <f t="shared" si="24"/>
        <v>-72981.621874999997</v>
      </c>
      <c r="AC52" s="132">
        <f t="shared" si="25"/>
        <v>-72981.621874999997</v>
      </c>
      <c r="AD52" s="107">
        <f t="shared" si="21"/>
        <v>2030</v>
      </c>
      <c r="AE52" s="132">
        <v>0</v>
      </c>
      <c r="AF52" s="132">
        <v>0</v>
      </c>
      <c r="AG52" s="132">
        <v>0</v>
      </c>
      <c r="AH52" s="106"/>
    </row>
    <row r="53" spans="1:34" x14ac:dyDescent="0.2">
      <c r="A53" s="82" t="str">
        <f t="shared" si="9"/>
        <v>7-Medium scenario</v>
      </c>
      <c r="B53" s="37">
        <v>7</v>
      </c>
      <c r="C53" s="33">
        <f t="shared" si="26"/>
        <v>2031</v>
      </c>
      <c r="D53" s="64">
        <f>INDEX('B. ER outputs'!$E$25:$I$69,MATCH(A53,'B. ER outputs'!$A$25:$A$69,0),MATCH(D$7,'B. ER outputs'!$E$24:$I$24,0))</f>
        <v>40832.540781249998</v>
      </c>
      <c r="E53" t="s">
        <v>88</v>
      </c>
      <c r="H53" s="7">
        <f t="shared" si="10"/>
        <v>2031</v>
      </c>
      <c r="I53" s="130">
        <f t="shared" si="11"/>
        <v>331367.98591406248</v>
      </c>
      <c r="J53" s="130">
        <f t="shared" si="12"/>
        <v>739693.39372656238</v>
      </c>
      <c r="K53" s="130">
        <f t="shared" si="13"/>
        <v>1148018.8015390625</v>
      </c>
      <c r="L53" s="36"/>
      <c r="M53" s="36"/>
      <c r="N53" s="7">
        <f t="shared" si="7"/>
        <v>2031</v>
      </c>
      <c r="O53" s="130">
        <f t="shared" si="14"/>
        <v>331367.98591406248</v>
      </c>
      <c r="P53" s="130">
        <f t="shared" si="15"/>
        <v>739693.39372656238</v>
      </c>
      <c r="Q53" s="130">
        <f t="shared" si="22"/>
        <v>1148018.8015390625</v>
      </c>
      <c r="T53" s="106">
        <f t="shared" si="16"/>
        <v>2031</v>
      </c>
      <c r="U53" s="132">
        <f t="shared" si="17"/>
        <v>402200.52669531247</v>
      </c>
      <c r="V53" s="132">
        <f t="shared" si="18"/>
        <v>810525.93450781237</v>
      </c>
      <c r="W53" s="132">
        <f t="shared" si="19"/>
        <v>1218851.3423203125</v>
      </c>
      <c r="X53" s="106"/>
      <c r="Y53" s="134">
        <f t="shared" si="20"/>
        <v>-70832.540781249991</v>
      </c>
      <c r="Z53" s="132" t="s">
        <v>30</v>
      </c>
      <c r="AA53" s="132">
        <f t="shared" si="23"/>
        <v>-70832.540781249991</v>
      </c>
      <c r="AB53" s="132">
        <f t="shared" si="24"/>
        <v>-70832.540781249991</v>
      </c>
      <c r="AC53" s="132">
        <f t="shared" si="25"/>
        <v>-70832.540781249991</v>
      </c>
      <c r="AD53" s="107">
        <f t="shared" si="21"/>
        <v>2031</v>
      </c>
      <c r="AE53" s="132">
        <v>0</v>
      </c>
      <c r="AF53" s="132">
        <v>0</v>
      </c>
      <c r="AG53" s="132">
        <v>0</v>
      </c>
      <c r="AH53" s="106"/>
    </row>
    <row r="54" spans="1:34" x14ac:dyDescent="0.2">
      <c r="A54" s="82" t="str">
        <f t="shared" si="9"/>
        <v>8-Medium scenario</v>
      </c>
      <c r="B54" s="37">
        <v>8</v>
      </c>
      <c r="C54" s="33">
        <f t="shared" si="26"/>
        <v>2032</v>
      </c>
      <c r="D54" s="64">
        <f>INDEX('B. ER outputs'!$E$25:$I$69,MATCH(A54,'B. ER outputs'!$A$25:$A$69,0),MATCH(D$7,'B. ER outputs'!$E$24:$I$24,0))</f>
        <v>38790.913742187498</v>
      </c>
      <c r="E54" t="s">
        <v>88</v>
      </c>
      <c r="H54" s="7">
        <f t="shared" si="10"/>
        <v>2032</v>
      </c>
      <c r="I54" s="130">
        <f t="shared" si="11"/>
        <v>313299.58661835938</v>
      </c>
      <c r="J54" s="130">
        <f t="shared" si="12"/>
        <v>701208.72404023423</v>
      </c>
      <c r="K54" s="130">
        <f t="shared" si="13"/>
        <v>1089117.8614621093</v>
      </c>
      <c r="L54" s="36"/>
      <c r="M54" s="36"/>
      <c r="N54" s="7">
        <f t="shared" si="7"/>
        <v>2032</v>
      </c>
      <c r="O54" s="130">
        <f t="shared" si="14"/>
        <v>313299.58661835938</v>
      </c>
      <c r="P54" s="130">
        <f t="shared" si="15"/>
        <v>701208.72404023423</v>
      </c>
      <c r="Q54" s="130">
        <f t="shared" si="22"/>
        <v>1089117.8614621093</v>
      </c>
      <c r="T54" s="106">
        <f t="shared" si="16"/>
        <v>2032</v>
      </c>
      <c r="U54" s="132">
        <f t="shared" si="17"/>
        <v>382090.50036054687</v>
      </c>
      <c r="V54" s="132">
        <f t="shared" si="18"/>
        <v>769999.63778242178</v>
      </c>
      <c r="W54" s="132">
        <f t="shared" si="19"/>
        <v>1157908.7752042967</v>
      </c>
      <c r="X54" s="106"/>
      <c r="Y54" s="134">
        <f t="shared" si="20"/>
        <v>-68790.913742187491</v>
      </c>
      <c r="Z54" s="132" t="s">
        <v>30</v>
      </c>
      <c r="AA54" s="132">
        <f t="shared" si="23"/>
        <v>-68790.913742187491</v>
      </c>
      <c r="AB54" s="132">
        <f t="shared" si="24"/>
        <v>-68790.913742187491</v>
      </c>
      <c r="AC54" s="132">
        <f t="shared" si="25"/>
        <v>-68790.913742187491</v>
      </c>
      <c r="AD54" s="107">
        <f t="shared" si="21"/>
        <v>2032</v>
      </c>
      <c r="AE54" s="132">
        <v>0</v>
      </c>
      <c r="AF54" s="132">
        <v>0</v>
      </c>
      <c r="AG54" s="132">
        <v>0</v>
      </c>
      <c r="AH54" s="106"/>
    </row>
    <row r="55" spans="1:34" x14ac:dyDescent="0.2">
      <c r="A55" s="82" t="str">
        <f t="shared" si="9"/>
        <v>9-Medium scenario</v>
      </c>
      <c r="B55" s="37">
        <v>9</v>
      </c>
      <c r="C55" s="33">
        <f t="shared" si="26"/>
        <v>2033</v>
      </c>
      <c r="D55" s="64">
        <f>INDEX('B. ER outputs'!$E$25:$I$69,MATCH(A55,'B. ER outputs'!$A$25:$A$69,0),MATCH(D$7,'B. ER outputs'!$E$24:$I$24,0))</f>
        <v>36851.368055078128</v>
      </c>
      <c r="E55" t="s">
        <v>88</v>
      </c>
      <c r="H55" s="7">
        <f t="shared" si="10"/>
        <v>2033</v>
      </c>
      <c r="I55" s="130">
        <f t="shared" si="11"/>
        <v>296134.60728744144</v>
      </c>
      <c r="J55" s="130">
        <f t="shared" si="12"/>
        <v>664648.28783822281</v>
      </c>
      <c r="K55" s="130">
        <f t="shared" si="13"/>
        <v>1033161.9683890041</v>
      </c>
      <c r="L55" s="36"/>
      <c r="M55" s="36"/>
      <c r="N55" s="7">
        <f t="shared" si="7"/>
        <v>2033</v>
      </c>
      <c r="O55" s="130">
        <f t="shared" si="14"/>
        <v>296134.60728744144</v>
      </c>
      <c r="P55" s="130">
        <f t="shared" si="15"/>
        <v>664648.28783822281</v>
      </c>
      <c r="Q55" s="130">
        <f t="shared" si="22"/>
        <v>1033161.9683890041</v>
      </c>
      <c r="T55" s="106">
        <f t="shared" si="16"/>
        <v>2033</v>
      </c>
      <c r="U55" s="132">
        <f t="shared" si="17"/>
        <v>362985.97534251958</v>
      </c>
      <c r="V55" s="132">
        <f t="shared" si="18"/>
        <v>731499.65589330089</v>
      </c>
      <c r="W55" s="132">
        <f t="shared" si="19"/>
        <v>1100013.3364440822</v>
      </c>
      <c r="X55" s="106"/>
      <c r="Y55" s="134">
        <f t="shared" si="20"/>
        <v>-66851.368055078128</v>
      </c>
      <c r="Z55" s="132" t="s">
        <v>30</v>
      </c>
      <c r="AA55" s="132">
        <f t="shared" si="23"/>
        <v>-66851.368055078128</v>
      </c>
      <c r="AB55" s="132">
        <f t="shared" si="24"/>
        <v>-66851.368055078128</v>
      </c>
      <c r="AC55" s="132">
        <f t="shared" si="25"/>
        <v>-66851.368055078128</v>
      </c>
      <c r="AD55" s="107">
        <f t="shared" si="21"/>
        <v>2033</v>
      </c>
      <c r="AE55" s="132">
        <v>0</v>
      </c>
      <c r="AF55" s="132">
        <v>0</v>
      </c>
      <c r="AG55" s="132">
        <v>0</v>
      </c>
      <c r="AH55" s="106"/>
    </row>
    <row r="56" spans="1:34" x14ac:dyDescent="0.2">
      <c r="A56" s="82" t="str">
        <f t="shared" si="9"/>
        <v>10-Medium scenario</v>
      </c>
      <c r="B56" s="37">
        <v>10</v>
      </c>
      <c r="C56" s="33">
        <f t="shared" si="26"/>
        <v>2034</v>
      </c>
      <c r="D56" s="64">
        <f>INDEX('B. ER outputs'!$E$25:$I$69,MATCH(A56,'B. ER outputs'!$A$25:$A$69,0),MATCH(D$7,'B. ER outputs'!$E$24:$I$24,0))</f>
        <v>35008.799652324211</v>
      </c>
      <c r="E56" t="s">
        <v>88</v>
      </c>
      <c r="H56" s="7">
        <f t="shared" si="10"/>
        <v>2034</v>
      </c>
      <c r="I56" s="130">
        <f t="shared" si="11"/>
        <v>279827.87692306924</v>
      </c>
      <c r="J56" s="130">
        <f t="shared" si="12"/>
        <v>629915.87344631134</v>
      </c>
      <c r="K56" s="130">
        <f t="shared" si="13"/>
        <v>980003.86996955355</v>
      </c>
      <c r="L56" s="36"/>
      <c r="M56" s="36"/>
      <c r="N56" s="7">
        <f t="shared" si="7"/>
        <v>2034</v>
      </c>
      <c r="O56" s="130">
        <f t="shared" si="14"/>
        <v>279827.87692306924</v>
      </c>
      <c r="P56" s="130">
        <f t="shared" si="15"/>
        <v>629915.87344631134</v>
      </c>
      <c r="Q56" s="130">
        <f t="shared" si="22"/>
        <v>980003.86996955355</v>
      </c>
      <c r="T56" s="106">
        <f t="shared" si="16"/>
        <v>2034</v>
      </c>
      <c r="U56" s="132">
        <f t="shared" si="17"/>
        <v>344836.67657539347</v>
      </c>
      <c r="V56" s="132">
        <f t="shared" si="18"/>
        <v>694924.67309863551</v>
      </c>
      <c r="W56" s="132">
        <f t="shared" si="19"/>
        <v>1045012.6696218777</v>
      </c>
      <c r="X56" s="106"/>
      <c r="Y56" s="134">
        <f t="shared" si="20"/>
        <v>-65008.799652324211</v>
      </c>
      <c r="Z56" s="132" t="s">
        <v>30</v>
      </c>
      <c r="AA56" s="132">
        <f t="shared" si="23"/>
        <v>-65008.799652324211</v>
      </c>
      <c r="AB56" s="132">
        <f t="shared" si="24"/>
        <v>-65008.799652324211</v>
      </c>
      <c r="AC56" s="132">
        <f t="shared" si="25"/>
        <v>-65008.799652324211</v>
      </c>
      <c r="AD56" s="107">
        <f t="shared" si="21"/>
        <v>2034</v>
      </c>
      <c r="AE56" s="132">
        <v>0</v>
      </c>
      <c r="AF56" s="132">
        <v>0</v>
      </c>
      <c r="AG56" s="132">
        <v>0</v>
      </c>
      <c r="AH56" s="106"/>
    </row>
    <row r="57" spans="1:34" x14ac:dyDescent="0.2">
      <c r="A57" s="82" t="str">
        <f t="shared" si="9"/>
        <v>11-Medium scenario</v>
      </c>
      <c r="B57" s="37">
        <v>11</v>
      </c>
      <c r="C57" s="33">
        <f t="shared" si="26"/>
        <v>2035</v>
      </c>
      <c r="D57" s="64">
        <f>INDEX('B. ER outputs'!$E$25:$I$69,MATCH(A57,'B. ER outputs'!$A$25:$A$69,0),MATCH(D$7,'B. ER outputs'!$E$24:$I$24,0))</f>
        <v>33258.359669707999</v>
      </c>
      <c r="E57" t="s">
        <v>88</v>
      </c>
      <c r="H57" s="7">
        <f t="shared" si="10"/>
        <v>2035</v>
      </c>
      <c r="I57" s="130">
        <f t="shared" si="11"/>
        <v>264336.48307691579</v>
      </c>
      <c r="J57" s="130">
        <f t="shared" si="12"/>
        <v>596920.07977399591</v>
      </c>
      <c r="K57" s="130">
        <f t="shared" si="13"/>
        <v>929503.67647107586</v>
      </c>
      <c r="L57" s="36"/>
      <c r="M57" s="36"/>
      <c r="N57" s="7">
        <f t="shared" si="7"/>
        <v>2035</v>
      </c>
      <c r="O57" s="130">
        <f t="shared" si="14"/>
        <v>264336.48307691579</v>
      </c>
      <c r="P57" s="130">
        <f t="shared" si="15"/>
        <v>596920.07977399591</v>
      </c>
      <c r="Q57" s="130">
        <f t="shared" si="22"/>
        <v>929503.67647107586</v>
      </c>
      <c r="T57" s="106">
        <f t="shared" si="16"/>
        <v>2035</v>
      </c>
      <c r="U57" s="132">
        <f t="shared" si="17"/>
        <v>327594.84274662379</v>
      </c>
      <c r="V57" s="132">
        <f t="shared" si="18"/>
        <v>660178.43944370386</v>
      </c>
      <c r="W57" s="132">
        <f t="shared" si="19"/>
        <v>992762.03614078381</v>
      </c>
      <c r="X57" s="106"/>
      <c r="Y57" s="134">
        <f t="shared" si="20"/>
        <v>-63258.359669707999</v>
      </c>
      <c r="Z57" s="132" t="s">
        <v>30</v>
      </c>
      <c r="AA57" s="132">
        <f t="shared" si="23"/>
        <v>-63258.359669707999</v>
      </c>
      <c r="AB57" s="132">
        <f t="shared" si="24"/>
        <v>-63258.359669707999</v>
      </c>
      <c r="AC57" s="132">
        <f t="shared" si="25"/>
        <v>-63258.359669707999</v>
      </c>
      <c r="AD57" s="107">
        <f t="shared" si="21"/>
        <v>2035</v>
      </c>
      <c r="AE57" s="132">
        <v>0</v>
      </c>
      <c r="AF57" s="132">
        <v>0</v>
      </c>
      <c r="AG57" s="132">
        <v>0</v>
      </c>
      <c r="AH57" s="106"/>
    </row>
    <row r="58" spans="1:34" x14ac:dyDescent="0.2">
      <c r="A58" s="82" t="str">
        <f t="shared" si="9"/>
        <v>12-Medium scenario</v>
      </c>
      <c r="B58" s="37">
        <v>12</v>
      </c>
      <c r="C58" s="33">
        <f t="shared" si="26"/>
        <v>2036</v>
      </c>
      <c r="D58" s="64">
        <f>INDEX('B. ER outputs'!$E$25:$I$69,MATCH(A58,'B. ER outputs'!$A$25:$A$69,0),MATCH(D$7,'B. ER outputs'!$E$24:$I$24,0))</f>
        <v>31595.441686222599</v>
      </c>
      <c r="E58" t="s">
        <v>88</v>
      </c>
      <c r="H58" s="7">
        <f t="shared" si="10"/>
        <v>2036</v>
      </c>
      <c r="I58" s="130">
        <f t="shared" si="11"/>
        <v>249619.65892306998</v>
      </c>
      <c r="J58" s="130">
        <f t="shared" si="12"/>
        <v>565574.07578529604</v>
      </c>
      <c r="K58" s="130">
        <f t="shared" si="13"/>
        <v>881528.49264752201</v>
      </c>
      <c r="L58" s="36"/>
      <c r="M58" s="36"/>
      <c r="N58" s="7">
        <f t="shared" si="7"/>
        <v>2036</v>
      </c>
      <c r="O58" s="130">
        <f t="shared" si="14"/>
        <v>249619.65892306998</v>
      </c>
      <c r="P58" s="130">
        <f t="shared" si="15"/>
        <v>565574.07578529604</v>
      </c>
      <c r="Q58" s="130">
        <f t="shared" si="22"/>
        <v>881528.49264752201</v>
      </c>
      <c r="T58" s="106">
        <f t="shared" si="16"/>
        <v>2036</v>
      </c>
      <c r="U58" s="132">
        <f t="shared" si="17"/>
        <v>311215.10060929257</v>
      </c>
      <c r="V58" s="132">
        <f t="shared" si="18"/>
        <v>627169.5174715186</v>
      </c>
      <c r="W58" s="132">
        <f t="shared" si="19"/>
        <v>943123.93433374458</v>
      </c>
      <c r="X58" s="106"/>
      <c r="Y58" s="134">
        <f t="shared" si="20"/>
        <v>-61595.441686222599</v>
      </c>
      <c r="Z58" s="132" t="s">
        <v>30</v>
      </c>
      <c r="AA58" s="132">
        <f t="shared" si="23"/>
        <v>-61595.441686222599</v>
      </c>
      <c r="AB58" s="132">
        <f t="shared" si="24"/>
        <v>-61595.441686222599</v>
      </c>
      <c r="AC58" s="132">
        <f t="shared" si="25"/>
        <v>-61595.441686222599</v>
      </c>
      <c r="AD58" s="107">
        <f t="shared" si="21"/>
        <v>2036</v>
      </c>
      <c r="AE58" s="132">
        <v>0</v>
      </c>
      <c r="AF58" s="132">
        <v>0</v>
      </c>
      <c r="AG58" s="132">
        <v>0</v>
      </c>
      <c r="AH58" s="106"/>
    </row>
    <row r="59" spans="1:34" x14ac:dyDescent="0.2">
      <c r="A59" s="82" t="str">
        <f t="shared" si="9"/>
        <v>13-Medium scenario</v>
      </c>
      <c r="B59" s="37">
        <v>13</v>
      </c>
      <c r="C59" s="33">
        <f t="shared" si="26"/>
        <v>2037</v>
      </c>
      <c r="D59" s="64">
        <f>INDEX('B. ER outputs'!$E$25:$I$69,MATCH(A59,'B. ER outputs'!$A$25:$A$69,0),MATCH(D$7,'B. ER outputs'!$E$24:$I$24,0))</f>
        <v>30015.669601911468</v>
      </c>
      <c r="E59" t="s">
        <v>88</v>
      </c>
      <c r="H59" s="7">
        <f t="shared" si="10"/>
        <v>2037</v>
      </c>
      <c r="I59" s="130">
        <f t="shared" si="11"/>
        <v>235638.67597691648</v>
      </c>
      <c r="J59" s="130">
        <f t="shared" si="12"/>
        <v>535795.37199603126</v>
      </c>
      <c r="K59" s="130">
        <f t="shared" si="13"/>
        <v>835952.06801514595</v>
      </c>
      <c r="L59" s="36"/>
      <c r="M59" s="36"/>
      <c r="N59" s="7">
        <f t="shared" si="7"/>
        <v>2037</v>
      </c>
      <c r="O59" s="130">
        <f t="shared" si="14"/>
        <v>235638.67597691648</v>
      </c>
      <c r="P59" s="130">
        <f t="shared" si="15"/>
        <v>535795.37199603126</v>
      </c>
      <c r="Q59" s="130">
        <f t="shared" si="22"/>
        <v>835952.06801514595</v>
      </c>
      <c r="T59" s="106">
        <f t="shared" si="16"/>
        <v>2037</v>
      </c>
      <c r="U59" s="132">
        <f t="shared" si="17"/>
        <v>295654.34557882795</v>
      </c>
      <c r="V59" s="132">
        <f t="shared" si="18"/>
        <v>595811.04159794271</v>
      </c>
      <c r="W59" s="132">
        <f t="shared" si="19"/>
        <v>895967.7376170574</v>
      </c>
      <c r="X59" s="106"/>
      <c r="Y59" s="134">
        <f t="shared" si="20"/>
        <v>-60015.669601911468</v>
      </c>
      <c r="Z59" s="132" t="s">
        <v>30</v>
      </c>
      <c r="AA59" s="132">
        <f t="shared" si="23"/>
        <v>-60015.669601911468</v>
      </c>
      <c r="AB59" s="132">
        <f t="shared" si="24"/>
        <v>-60015.669601911468</v>
      </c>
      <c r="AC59" s="132">
        <f t="shared" si="25"/>
        <v>-60015.669601911468</v>
      </c>
      <c r="AD59" s="107">
        <f t="shared" si="21"/>
        <v>2037</v>
      </c>
      <c r="AE59" s="132">
        <v>0</v>
      </c>
      <c r="AF59" s="132">
        <v>0</v>
      </c>
      <c r="AG59" s="132">
        <v>0</v>
      </c>
      <c r="AH59" s="106"/>
    </row>
    <row r="60" spans="1:34" x14ac:dyDescent="0.2">
      <c r="A60" s="82" t="str">
        <f t="shared" si="9"/>
        <v>14-Medium scenario</v>
      </c>
      <c r="B60" s="37">
        <v>14</v>
      </c>
      <c r="C60" s="33">
        <f t="shared" si="26"/>
        <v>2038</v>
      </c>
      <c r="D60" s="64">
        <f>INDEX('B. ER outputs'!$E$25:$I$69,MATCH(A60,'B. ER outputs'!$A$25:$A$69,0),MATCH(D$7,'B. ER outputs'!$E$24:$I$24,0))</f>
        <v>28514.886121815893</v>
      </c>
      <c r="E60" t="s">
        <v>88</v>
      </c>
      <c r="H60" s="7">
        <f t="shared" si="10"/>
        <v>2038</v>
      </c>
      <c r="I60" s="130">
        <f t="shared" si="11"/>
        <v>222356.74217807065</v>
      </c>
      <c r="J60" s="130">
        <f t="shared" si="12"/>
        <v>507505.60339622956</v>
      </c>
      <c r="K60" s="130">
        <f t="shared" si="13"/>
        <v>792654.46461438853</v>
      </c>
      <c r="L60" s="36"/>
      <c r="M60" s="36"/>
      <c r="N60" s="7">
        <f t="shared" si="7"/>
        <v>2038</v>
      </c>
      <c r="O60" s="130">
        <f t="shared" si="14"/>
        <v>222356.74217807065</v>
      </c>
      <c r="P60" s="130">
        <f t="shared" si="15"/>
        <v>507505.60339622956</v>
      </c>
      <c r="Q60" s="130">
        <f t="shared" si="22"/>
        <v>792654.46461438853</v>
      </c>
      <c r="T60" s="106">
        <f t="shared" si="16"/>
        <v>2038</v>
      </c>
      <c r="U60" s="132">
        <f t="shared" si="17"/>
        <v>280871.62829988654</v>
      </c>
      <c r="V60" s="132">
        <f t="shared" si="18"/>
        <v>566020.48951804545</v>
      </c>
      <c r="W60" s="132">
        <f t="shared" si="19"/>
        <v>851169.35073620442</v>
      </c>
      <c r="X60" s="106"/>
      <c r="Y60" s="134">
        <f t="shared" si="20"/>
        <v>-58514.886121815893</v>
      </c>
      <c r="Z60" s="132" t="s">
        <v>30</v>
      </c>
      <c r="AA60" s="132">
        <f t="shared" si="23"/>
        <v>-58514.886121815893</v>
      </c>
      <c r="AB60" s="132">
        <f t="shared" si="24"/>
        <v>-58514.886121815893</v>
      </c>
      <c r="AC60" s="132">
        <f t="shared" si="25"/>
        <v>-58514.886121815893</v>
      </c>
      <c r="AD60" s="107">
        <f t="shared" si="21"/>
        <v>2038</v>
      </c>
      <c r="AE60" s="132">
        <v>0</v>
      </c>
      <c r="AF60" s="132">
        <v>0</v>
      </c>
      <c r="AG60" s="132">
        <v>0</v>
      </c>
      <c r="AH60" s="106"/>
    </row>
    <row r="61" spans="1:34" x14ac:dyDescent="0.2">
      <c r="A61" s="82" t="str">
        <f t="shared" si="9"/>
        <v>15-Medium scenario</v>
      </c>
      <c r="B61" s="37">
        <v>15</v>
      </c>
      <c r="C61" s="33">
        <f t="shared" si="26"/>
        <v>2039</v>
      </c>
      <c r="D61" s="64">
        <f>INDEX('B. ER outputs'!$E$25:$I$69,MATCH(A61,'B. ER outputs'!$A$25:$A$69,0),MATCH(D$7,'B. ER outputs'!$E$24:$I$24,0))</f>
        <v>27089.141815725096</v>
      </c>
      <c r="E61" t="s">
        <v>88</v>
      </c>
      <c r="H61" s="7">
        <f t="shared" si="10"/>
        <v>2039</v>
      </c>
      <c r="I61" s="130">
        <f t="shared" si="11"/>
        <v>209738.90506916711</v>
      </c>
      <c r="J61" s="130">
        <f t="shared" si="12"/>
        <v>480630.32322641806</v>
      </c>
      <c r="K61" s="130">
        <f t="shared" si="13"/>
        <v>751521.74138366897</v>
      </c>
      <c r="L61" s="36"/>
      <c r="M61" s="36"/>
      <c r="N61" s="7">
        <f t="shared" si="7"/>
        <v>2039</v>
      </c>
      <c r="O61" s="130">
        <f t="shared" si="14"/>
        <v>209738.90506916711</v>
      </c>
      <c r="P61" s="130">
        <f t="shared" si="15"/>
        <v>480630.32322641806</v>
      </c>
      <c r="Q61" s="130">
        <f t="shared" si="22"/>
        <v>751521.74138366897</v>
      </c>
      <c r="T61" s="106">
        <f t="shared" si="16"/>
        <v>2039</v>
      </c>
      <c r="U61" s="132">
        <f t="shared" si="17"/>
        <v>266828.04688489222</v>
      </c>
      <c r="V61" s="132">
        <f t="shared" si="18"/>
        <v>537719.46504214313</v>
      </c>
      <c r="W61" s="132">
        <f t="shared" si="19"/>
        <v>808610.8831993941</v>
      </c>
      <c r="X61" s="106"/>
      <c r="Y61" s="134">
        <f t="shared" si="20"/>
        <v>-57089.141815725096</v>
      </c>
      <c r="Z61" s="132" t="s">
        <v>30</v>
      </c>
      <c r="AA61" s="132">
        <f t="shared" si="23"/>
        <v>-57089.141815725096</v>
      </c>
      <c r="AB61" s="132">
        <f t="shared" si="24"/>
        <v>-57089.141815725096</v>
      </c>
      <c r="AC61" s="132">
        <f t="shared" si="25"/>
        <v>-57089.141815725096</v>
      </c>
      <c r="AD61" s="107">
        <f>T61</f>
        <v>2039</v>
      </c>
      <c r="AE61" s="132">
        <v>0</v>
      </c>
      <c r="AF61" s="132">
        <v>0</v>
      </c>
      <c r="AG61" s="132">
        <v>0</v>
      </c>
      <c r="AH61" s="106"/>
    </row>
    <row r="62" spans="1:34" x14ac:dyDescent="0.2">
      <c r="H62" s="9" t="s">
        <v>67</v>
      </c>
      <c r="I62" s="131">
        <f>SUM(I46:I61)</f>
        <v>3744960.803685823</v>
      </c>
      <c r="J62" s="131">
        <f>SUM(J46:J61)</f>
        <v>8598023.8586980514</v>
      </c>
      <c r="K62" s="131">
        <f>SUM(K46:K61)</f>
        <v>13451086.913710278</v>
      </c>
      <c r="L62" s="36"/>
      <c r="M62" s="36"/>
      <c r="N62" s="9" t="s">
        <v>67</v>
      </c>
      <c r="O62" s="131">
        <f>SUM(O46:O61)</f>
        <v>2994960.8036858235</v>
      </c>
      <c r="P62" s="131">
        <f>SUM(P46:P61)</f>
        <v>7348023.8586980524</v>
      </c>
      <c r="Q62" s="131">
        <f>SUM(Q46:Q61)</f>
        <v>11701086.913710278</v>
      </c>
      <c r="T62" s="106"/>
      <c r="U62" s="133">
        <f>SUM(U47:U61)</f>
        <v>4780267.1091870461</v>
      </c>
      <c r="V62" s="133">
        <f>SUM(V47:V61)</f>
        <v>9633330.164199274</v>
      </c>
      <c r="W62" s="133">
        <f>SUM(W47:W61)</f>
        <v>14486393.219211504</v>
      </c>
      <c r="X62" s="106"/>
      <c r="Y62" s="133">
        <f>SUM(Y46:Y61)</f>
        <v>-1035306.3055012226</v>
      </c>
      <c r="Z62" s="132"/>
      <c r="AA62" s="133">
        <f>SUM(AA46:AA61)</f>
        <v>-1035306.3055012226</v>
      </c>
      <c r="AB62" s="133">
        <f>SUM(AB46:AB61)</f>
        <v>-1035306.3055012226</v>
      </c>
      <c r="AC62" s="133">
        <f>SUM(AC46:AC61)</f>
        <v>-1035306.3055012226</v>
      </c>
      <c r="AD62" s="114"/>
      <c r="AE62" s="133">
        <f>SUM(AE46:AE60)</f>
        <v>-750000</v>
      </c>
      <c r="AF62" s="133">
        <f>SUM(AF46:AF60)</f>
        <v>-1250000</v>
      </c>
      <c r="AG62" s="133">
        <f>SUM(AG46:AG60)</f>
        <v>-1750000</v>
      </c>
      <c r="AH62" s="106"/>
    </row>
    <row r="63" spans="1:34" x14ac:dyDescent="0.2">
      <c r="H63" s="9" t="s">
        <v>68</v>
      </c>
      <c r="I63" s="90">
        <f>IRR(I46:I62)</f>
        <v>1.2189208265254425</v>
      </c>
      <c r="J63" s="90">
        <f>IRR(J46:J62)</f>
        <v>2.3307473260048086</v>
      </c>
      <c r="K63" s="90">
        <f>IRR(K46:K62)</f>
        <v>3.3814365667428321</v>
      </c>
      <c r="N63" s="9" t="s">
        <v>68</v>
      </c>
      <c r="O63" s="90">
        <f>IRR(O46:O62)</f>
        <v>0.3779880748239639</v>
      </c>
      <c r="P63" s="90">
        <f>IRR(P46:P62)</f>
        <v>0.55854714605554179</v>
      </c>
      <c r="Q63" s="90">
        <f>IRR(Q46:Q62)</f>
        <v>0.65141567196453165</v>
      </c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</row>
    <row r="64" spans="1:34" x14ac:dyDescent="0.2">
      <c r="H64" s="9"/>
      <c r="I64" s="90"/>
      <c r="J64" s="90"/>
      <c r="K64" s="90"/>
      <c r="N64" s="19"/>
      <c r="O64" s="19"/>
      <c r="S64"/>
      <c r="T64"/>
    </row>
    <row r="65" spans="2:24" x14ac:dyDescent="0.2">
      <c r="B65" s="94"/>
      <c r="C65" s="95" t="s">
        <v>106</v>
      </c>
      <c r="D65" s="94"/>
      <c r="E65" s="94"/>
      <c r="F65" s="94"/>
      <c r="H65" s="95" t="s">
        <v>108</v>
      </c>
      <c r="I65" s="140"/>
      <c r="J65" s="140"/>
      <c r="K65" s="140"/>
      <c r="L65" s="94"/>
      <c r="M65" s="19"/>
      <c r="N65" s="95" t="s">
        <v>107</v>
      </c>
      <c r="O65" s="94"/>
      <c r="P65" s="94"/>
      <c r="Q65" s="94"/>
      <c r="R65" s="94"/>
      <c r="S65"/>
      <c r="T65"/>
    </row>
    <row r="66" spans="2:24" x14ac:dyDescent="0.2">
      <c r="B66" s="104"/>
      <c r="C66" s="104"/>
      <c r="D66" s="104"/>
      <c r="E66" s="105"/>
      <c r="Q66"/>
      <c r="R66"/>
    </row>
    <row r="67" spans="2:24" x14ac:dyDescent="0.2">
      <c r="B67"/>
      <c r="Q67"/>
      <c r="X67" s="23"/>
    </row>
    <row r="86" spans="8:17" x14ac:dyDescent="0.2">
      <c r="H86" t="s">
        <v>77</v>
      </c>
      <c r="K86" s="91">
        <f>I63</f>
        <v>1.2189208265254425</v>
      </c>
      <c r="N86" t="s">
        <v>77</v>
      </c>
      <c r="Q86" s="91">
        <f>O63</f>
        <v>0.3779880748239639</v>
      </c>
    </row>
    <row r="108" spans="8:17" x14ac:dyDescent="0.2">
      <c r="H108" t="s">
        <v>77</v>
      </c>
      <c r="K108" s="91">
        <f>J63</f>
        <v>2.3307473260048086</v>
      </c>
      <c r="N108" t="s">
        <v>77</v>
      </c>
      <c r="Q108" s="91">
        <f>P63</f>
        <v>0.55854714605554179</v>
      </c>
    </row>
    <row r="130" spans="8:17" x14ac:dyDescent="0.2">
      <c r="H130" t="s">
        <v>77</v>
      </c>
      <c r="K130" s="91">
        <f>K63</f>
        <v>3.3814365667428321</v>
      </c>
      <c r="N130" t="s">
        <v>77</v>
      </c>
      <c r="Q130" s="91">
        <f>Q63</f>
        <v>0.65141567196453165</v>
      </c>
    </row>
    <row r="151" spans="8:11" x14ac:dyDescent="0.2">
      <c r="H151" s="19"/>
      <c r="I151" s="19"/>
      <c r="J151" s="19"/>
      <c r="K151" s="19"/>
    </row>
  </sheetData>
  <mergeCells count="2">
    <mergeCell ref="C35:E35"/>
    <mergeCell ref="H35:K35"/>
  </mergeCells>
  <conditionalFormatting sqref="O46:Q62">
    <cfRule type="cellIs" dxfId="2" priority="2" operator="lessThan">
      <formula>0</formula>
    </cfRule>
  </conditionalFormatting>
  <conditionalFormatting sqref="Y62">
    <cfRule type="cellIs" dxfId="1" priority="4" operator="lessThan">
      <formula>0</formula>
    </cfRule>
  </conditionalFormatting>
  <conditionalFormatting sqref="AA46:AC61 AE46:AG61 I46:M62 AA62:AG62">
    <cfRule type="cellIs" dxfId="0" priority="8" operator="lessThan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91CDCD8-14E8-E946-9952-1FFCB48937A1}">
          <x14:formula1>
            <xm:f>'1. ER potentials'!$B$4:$B$8</xm:f>
          </x14:formula1>
          <xm:sqref>D7</xm:sqref>
        </x14:dataValidation>
        <x14:dataValidation type="list" allowBlank="1" showInputMessage="1" showErrorMessage="1" xr:uid="{EB180768-E16C-40F1-BC6D-00C18464EDD3}">
          <x14:formula1>
            <xm:f>'A. List'!$B$17:$B$19</xm:f>
          </x14:formula1>
          <xm:sqref>D8</xm:sqref>
        </x14:dataValidation>
        <x14:dataValidation type="list" allowBlank="1" showInputMessage="1" showErrorMessage="1" xr:uid="{CB8F27A1-602D-4EEB-B88B-12BF1F1495DF}">
          <x14:formula1>
            <xm:f>'A. List'!$B$22:$B$32</xm:f>
          </x14:formula1>
          <xm:sqref>D9</xm:sqref>
        </x14:dataValidation>
        <x14:dataValidation type="list" allowBlank="1" showInputMessage="1" showErrorMessage="1" xr:uid="{6B00AC25-CF94-41EF-9F6A-DCF6C95DDD14}">
          <x14:formula1>
            <xm:f>'A. List'!$B$35:$B$40</xm:f>
          </x14:formula1>
          <xm:sqref>I11</xm:sqref>
        </x14:dataValidation>
        <x14:dataValidation type="list" allowBlank="1" showInputMessage="1" showErrorMessage="1" xr:uid="{1F8297A6-4075-47AD-B244-7C484D2016E7}">
          <x14:formula1>
            <xm:f>'A. List'!$B$52:$B$85</xm:f>
          </x14:formula1>
          <xm:sqref>D31:D33</xm:sqref>
        </x14:dataValidation>
        <x14:dataValidation type="list" allowBlank="1" showInputMessage="1" showErrorMessage="1" xr:uid="{6939CF5A-05A3-421F-A239-572E2B66AB20}">
          <x14:formula1>
            <xm:f>'A. List'!$B$89:$B$108</xm:f>
          </x14:formula1>
          <xm:sqref>I31:I33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608F2-2EF9-4369-820D-53A332C11935}">
  <sheetPr>
    <tabColor theme="4" tint="0.79998168889431442"/>
  </sheetPr>
  <dimension ref="A1:E108"/>
  <sheetViews>
    <sheetView showGridLines="0" workbookViewId="0">
      <selection activeCell="B20" sqref="B20"/>
    </sheetView>
  </sheetViews>
  <sheetFormatPr baseColWidth="10" defaultColWidth="8.83203125" defaultRowHeight="15" x14ac:dyDescent="0.2"/>
  <cols>
    <col min="2" max="2" width="10.1640625" bestFit="1" customWidth="1"/>
  </cols>
  <sheetData>
    <row r="1" spans="1:3" x14ac:dyDescent="0.2">
      <c r="A1" s="33" t="s">
        <v>50</v>
      </c>
    </row>
    <row r="2" spans="1:3" x14ac:dyDescent="0.2">
      <c r="B2" s="121">
        <v>500</v>
      </c>
      <c r="C2" s="34" t="s">
        <v>70</v>
      </c>
    </row>
    <row r="3" spans="1:3" x14ac:dyDescent="0.2">
      <c r="B3" s="121">
        <v>1000</v>
      </c>
      <c r="C3" s="34" t="s">
        <v>70</v>
      </c>
    </row>
    <row r="4" spans="1:3" x14ac:dyDescent="0.2">
      <c r="B4" s="121">
        <v>2000</v>
      </c>
      <c r="C4" s="34" t="s">
        <v>70</v>
      </c>
    </row>
    <row r="5" spans="1:3" x14ac:dyDescent="0.2">
      <c r="B5" s="121">
        <v>3000</v>
      </c>
      <c r="C5" s="34" t="s">
        <v>70</v>
      </c>
    </row>
    <row r="6" spans="1:3" x14ac:dyDescent="0.2">
      <c r="B6" s="121">
        <v>4000</v>
      </c>
      <c r="C6" s="34" t="s">
        <v>70</v>
      </c>
    </row>
    <row r="7" spans="1:3" x14ac:dyDescent="0.2">
      <c r="B7" s="121">
        <v>5000</v>
      </c>
      <c r="C7" s="34" t="s">
        <v>70</v>
      </c>
    </row>
    <row r="8" spans="1:3" x14ac:dyDescent="0.2">
      <c r="B8" s="121">
        <v>6000</v>
      </c>
      <c r="C8" s="34" t="s">
        <v>70</v>
      </c>
    </row>
    <row r="9" spans="1:3" x14ac:dyDescent="0.2">
      <c r="B9" s="121">
        <v>7000</v>
      </c>
      <c r="C9" s="34" t="s">
        <v>70</v>
      </c>
    </row>
    <row r="10" spans="1:3" x14ac:dyDescent="0.2">
      <c r="B10" s="121">
        <v>8000</v>
      </c>
      <c r="C10" s="34" t="s">
        <v>70</v>
      </c>
    </row>
    <row r="11" spans="1:3" x14ac:dyDescent="0.2">
      <c r="B11" s="121">
        <v>9000</v>
      </c>
      <c r="C11" s="34" t="s">
        <v>70</v>
      </c>
    </row>
    <row r="12" spans="1:3" x14ac:dyDescent="0.2">
      <c r="B12" s="121">
        <v>10000</v>
      </c>
      <c r="C12" s="34" t="s">
        <v>70</v>
      </c>
    </row>
    <row r="13" spans="1:3" x14ac:dyDescent="0.2">
      <c r="B13" s="121">
        <v>15000</v>
      </c>
      <c r="C13" s="34" t="s">
        <v>70</v>
      </c>
    </row>
    <row r="14" spans="1:3" x14ac:dyDescent="0.2">
      <c r="B14" s="121">
        <v>20000</v>
      </c>
      <c r="C14" s="34" t="s">
        <v>70</v>
      </c>
    </row>
    <row r="16" spans="1:3" x14ac:dyDescent="0.2">
      <c r="A16" s="33" t="s">
        <v>51</v>
      </c>
    </row>
    <row r="17" spans="1:5" x14ac:dyDescent="0.2">
      <c r="B17" s="122" t="str">
        <f>'2. Implementation rate'!D3</f>
        <v>Low scenario</v>
      </c>
      <c r="C17" s="122"/>
      <c r="D17" s="122"/>
      <c r="E17" s="122"/>
    </row>
    <row r="18" spans="1:5" x14ac:dyDescent="0.2">
      <c r="B18" s="122" t="str">
        <f>'2. Implementation rate'!K3</f>
        <v>Medium scenario</v>
      </c>
      <c r="C18" s="122"/>
      <c r="D18" s="122"/>
      <c r="E18" s="122"/>
    </row>
    <row r="19" spans="1:5" x14ac:dyDescent="0.2">
      <c r="B19" s="122" t="str">
        <f>'2. Implementation rate'!R3</f>
        <v>High scenario</v>
      </c>
      <c r="C19" s="122"/>
      <c r="D19" s="122"/>
      <c r="E19" s="122"/>
    </row>
    <row r="21" spans="1:5" x14ac:dyDescent="0.2">
      <c r="A21" s="33" t="s">
        <v>52</v>
      </c>
    </row>
    <row r="22" spans="1:5" x14ac:dyDescent="0.2">
      <c r="A22" s="33"/>
      <c r="B22" s="123">
        <v>0</v>
      </c>
      <c r="C22" s="34" t="s">
        <v>100</v>
      </c>
    </row>
    <row r="23" spans="1:5" x14ac:dyDescent="0.2">
      <c r="B23" s="123">
        <v>0.01</v>
      </c>
      <c r="C23" s="34" t="s">
        <v>100</v>
      </c>
    </row>
    <row r="24" spans="1:5" x14ac:dyDescent="0.2">
      <c r="B24" s="123">
        <v>0.02</v>
      </c>
      <c r="C24" s="34" t="s">
        <v>100</v>
      </c>
    </row>
    <row r="25" spans="1:5" x14ac:dyDescent="0.2">
      <c r="B25" s="123">
        <v>0.03</v>
      </c>
      <c r="C25" s="34" t="s">
        <v>100</v>
      </c>
    </row>
    <row r="26" spans="1:5" x14ac:dyDescent="0.2">
      <c r="B26" s="123">
        <v>0.04</v>
      </c>
      <c r="C26" s="34" t="s">
        <v>100</v>
      </c>
    </row>
    <row r="27" spans="1:5" x14ac:dyDescent="0.2">
      <c r="B27" s="123">
        <v>0.05</v>
      </c>
      <c r="C27" s="34" t="s">
        <v>100</v>
      </c>
    </row>
    <row r="28" spans="1:5" x14ac:dyDescent="0.2">
      <c r="B28" s="123">
        <v>0.06</v>
      </c>
      <c r="C28" s="34" t="s">
        <v>100</v>
      </c>
    </row>
    <row r="29" spans="1:5" x14ac:dyDescent="0.2">
      <c r="B29" s="123">
        <v>7.0000000000000007E-2</v>
      </c>
      <c r="C29" s="34" t="s">
        <v>100</v>
      </c>
    </row>
    <row r="30" spans="1:5" x14ac:dyDescent="0.2">
      <c r="B30" s="123">
        <v>0.08</v>
      </c>
      <c r="C30" s="34" t="s">
        <v>100</v>
      </c>
    </row>
    <row r="31" spans="1:5" x14ac:dyDescent="0.2">
      <c r="B31" s="123">
        <v>0.09</v>
      </c>
      <c r="C31" s="34" t="s">
        <v>100</v>
      </c>
    </row>
    <row r="32" spans="1:5" x14ac:dyDescent="0.2">
      <c r="B32" s="123">
        <v>0.1</v>
      </c>
      <c r="C32" s="34" t="s">
        <v>100</v>
      </c>
    </row>
    <row r="34" spans="1:3" x14ac:dyDescent="0.2">
      <c r="A34" s="33" t="s">
        <v>54</v>
      </c>
    </row>
    <row r="35" spans="1:3" x14ac:dyDescent="0.2">
      <c r="B35" s="127">
        <v>0.5</v>
      </c>
      <c r="C35" s="34" t="s">
        <v>103</v>
      </c>
    </row>
    <row r="36" spans="1:3" x14ac:dyDescent="0.2">
      <c r="B36" s="127">
        <v>1</v>
      </c>
      <c r="C36" s="34" t="s">
        <v>103</v>
      </c>
    </row>
    <row r="37" spans="1:3" x14ac:dyDescent="0.2">
      <c r="B37" s="127">
        <v>2</v>
      </c>
      <c r="C37" s="34" t="s">
        <v>103</v>
      </c>
    </row>
    <row r="38" spans="1:3" x14ac:dyDescent="0.2">
      <c r="B38" s="127">
        <v>5</v>
      </c>
      <c r="C38" s="34" t="s">
        <v>103</v>
      </c>
    </row>
    <row r="39" spans="1:3" x14ac:dyDescent="0.2">
      <c r="B39" s="127">
        <v>10</v>
      </c>
      <c r="C39" s="34" t="s">
        <v>103</v>
      </c>
    </row>
    <row r="40" spans="1:3" x14ac:dyDescent="0.2">
      <c r="B40" s="127">
        <v>15</v>
      </c>
      <c r="C40" s="34" t="s">
        <v>103</v>
      </c>
    </row>
    <row r="42" spans="1:3" x14ac:dyDescent="0.2">
      <c r="A42" s="33" t="s">
        <v>56</v>
      </c>
    </row>
    <row r="43" spans="1:3" x14ac:dyDescent="0.2">
      <c r="B43" s="124">
        <v>1</v>
      </c>
      <c r="C43" s="34" t="s">
        <v>104</v>
      </c>
    </row>
    <row r="44" spans="1:3" x14ac:dyDescent="0.2">
      <c r="B44" s="124">
        <v>2</v>
      </c>
      <c r="C44" s="34" t="s">
        <v>104</v>
      </c>
    </row>
    <row r="45" spans="1:3" x14ac:dyDescent="0.2">
      <c r="B45" s="124">
        <v>3</v>
      </c>
      <c r="C45" s="34" t="s">
        <v>104</v>
      </c>
    </row>
    <row r="46" spans="1:3" x14ac:dyDescent="0.2">
      <c r="B46" s="124">
        <v>4</v>
      </c>
      <c r="C46" s="34" t="s">
        <v>104</v>
      </c>
    </row>
    <row r="47" spans="1:3" x14ac:dyDescent="0.2">
      <c r="B47" s="124">
        <v>5</v>
      </c>
      <c r="C47" s="34" t="s">
        <v>104</v>
      </c>
    </row>
    <row r="48" spans="1:3" x14ac:dyDescent="0.2">
      <c r="B48" s="124">
        <v>6</v>
      </c>
      <c r="C48" s="34" t="s">
        <v>104</v>
      </c>
    </row>
    <row r="49" spans="1:3" x14ac:dyDescent="0.2">
      <c r="B49" s="124">
        <v>7</v>
      </c>
      <c r="C49" s="34" t="s">
        <v>104</v>
      </c>
    </row>
    <row r="51" spans="1:3" x14ac:dyDescent="0.2">
      <c r="A51" s="33" t="s">
        <v>57</v>
      </c>
    </row>
    <row r="52" spans="1:3" x14ac:dyDescent="0.2">
      <c r="B52" s="127">
        <v>1</v>
      </c>
      <c r="C52" s="34" t="s">
        <v>102</v>
      </c>
    </row>
    <row r="53" spans="1:3" x14ac:dyDescent="0.2">
      <c r="B53" s="127">
        <v>2</v>
      </c>
      <c r="C53" s="34" t="s">
        <v>102</v>
      </c>
    </row>
    <row r="54" spans="1:3" x14ac:dyDescent="0.2">
      <c r="B54" s="127">
        <v>3</v>
      </c>
      <c r="C54" s="34" t="s">
        <v>102</v>
      </c>
    </row>
    <row r="55" spans="1:3" x14ac:dyDescent="0.2">
      <c r="B55" s="127">
        <v>4</v>
      </c>
      <c r="C55" s="34" t="s">
        <v>102</v>
      </c>
    </row>
    <row r="56" spans="1:3" x14ac:dyDescent="0.2">
      <c r="B56" s="127">
        <v>5</v>
      </c>
      <c r="C56" s="34" t="s">
        <v>102</v>
      </c>
    </row>
    <row r="57" spans="1:3" x14ac:dyDescent="0.2">
      <c r="B57" s="127">
        <v>6</v>
      </c>
      <c r="C57" s="34" t="s">
        <v>102</v>
      </c>
    </row>
    <row r="58" spans="1:3" x14ac:dyDescent="0.2">
      <c r="B58" s="127">
        <v>7</v>
      </c>
      <c r="C58" s="34" t="s">
        <v>102</v>
      </c>
    </row>
    <row r="59" spans="1:3" x14ac:dyDescent="0.2">
      <c r="B59" s="127">
        <v>8</v>
      </c>
      <c r="C59" s="34" t="s">
        <v>102</v>
      </c>
    </row>
    <row r="60" spans="1:3" x14ac:dyDescent="0.2">
      <c r="B60" s="127">
        <v>9</v>
      </c>
      <c r="C60" s="34" t="s">
        <v>102</v>
      </c>
    </row>
    <row r="61" spans="1:3" x14ac:dyDescent="0.2">
      <c r="B61" s="127">
        <v>10</v>
      </c>
      <c r="C61" s="34" t="s">
        <v>102</v>
      </c>
    </row>
    <row r="62" spans="1:3" x14ac:dyDescent="0.2">
      <c r="B62" s="127">
        <v>11</v>
      </c>
      <c r="C62" s="34" t="s">
        <v>102</v>
      </c>
    </row>
    <row r="63" spans="1:3" x14ac:dyDescent="0.2">
      <c r="B63" s="127">
        <v>12</v>
      </c>
      <c r="C63" s="34" t="s">
        <v>102</v>
      </c>
    </row>
    <row r="64" spans="1:3" x14ac:dyDescent="0.2">
      <c r="B64" s="127">
        <v>13</v>
      </c>
      <c r="C64" s="34" t="s">
        <v>102</v>
      </c>
    </row>
    <row r="65" spans="2:3" x14ac:dyDescent="0.2">
      <c r="B65" s="127">
        <v>14</v>
      </c>
      <c r="C65" s="34" t="s">
        <v>102</v>
      </c>
    </row>
    <row r="66" spans="2:3" x14ac:dyDescent="0.2">
      <c r="B66" s="127">
        <v>15</v>
      </c>
      <c r="C66" s="34" t="s">
        <v>102</v>
      </c>
    </row>
    <row r="67" spans="2:3" x14ac:dyDescent="0.2">
      <c r="B67" s="127">
        <v>16</v>
      </c>
      <c r="C67" s="34" t="s">
        <v>102</v>
      </c>
    </row>
    <row r="68" spans="2:3" x14ac:dyDescent="0.2">
      <c r="B68" s="127">
        <v>17</v>
      </c>
      <c r="C68" s="34" t="s">
        <v>102</v>
      </c>
    </row>
    <row r="69" spans="2:3" x14ac:dyDescent="0.2">
      <c r="B69" s="127">
        <v>18</v>
      </c>
      <c r="C69" s="34" t="s">
        <v>102</v>
      </c>
    </row>
    <row r="70" spans="2:3" x14ac:dyDescent="0.2">
      <c r="B70" s="127">
        <v>19</v>
      </c>
      <c r="C70" s="34" t="s">
        <v>102</v>
      </c>
    </row>
    <row r="71" spans="2:3" x14ac:dyDescent="0.2">
      <c r="B71" s="127">
        <v>20</v>
      </c>
      <c r="C71" s="34" t="s">
        <v>102</v>
      </c>
    </row>
    <row r="72" spans="2:3" x14ac:dyDescent="0.2">
      <c r="B72" s="127">
        <v>21</v>
      </c>
      <c r="C72" s="34" t="s">
        <v>102</v>
      </c>
    </row>
    <row r="73" spans="2:3" x14ac:dyDescent="0.2">
      <c r="B73" s="127">
        <v>22</v>
      </c>
      <c r="C73" s="34" t="s">
        <v>102</v>
      </c>
    </row>
    <row r="74" spans="2:3" x14ac:dyDescent="0.2">
      <c r="B74" s="127">
        <v>23</v>
      </c>
      <c r="C74" s="34" t="s">
        <v>102</v>
      </c>
    </row>
    <row r="75" spans="2:3" x14ac:dyDescent="0.2">
      <c r="B75" s="127">
        <v>24</v>
      </c>
      <c r="C75" s="34" t="s">
        <v>102</v>
      </c>
    </row>
    <row r="76" spans="2:3" x14ac:dyDescent="0.2">
      <c r="B76" s="127">
        <v>25</v>
      </c>
      <c r="C76" s="34" t="s">
        <v>102</v>
      </c>
    </row>
    <row r="77" spans="2:3" x14ac:dyDescent="0.2">
      <c r="B77" s="127">
        <v>26</v>
      </c>
      <c r="C77" s="34" t="s">
        <v>102</v>
      </c>
    </row>
    <row r="78" spans="2:3" x14ac:dyDescent="0.2">
      <c r="B78" s="127">
        <v>27</v>
      </c>
      <c r="C78" s="34" t="s">
        <v>102</v>
      </c>
    </row>
    <row r="79" spans="2:3" x14ac:dyDescent="0.2">
      <c r="B79" s="127">
        <v>28</v>
      </c>
      <c r="C79" s="34" t="s">
        <v>102</v>
      </c>
    </row>
    <row r="80" spans="2:3" x14ac:dyDescent="0.2">
      <c r="B80" s="127">
        <v>29</v>
      </c>
      <c r="C80" s="34" t="s">
        <v>102</v>
      </c>
    </row>
    <row r="81" spans="1:3" x14ac:dyDescent="0.2">
      <c r="B81" s="127">
        <v>30</v>
      </c>
      <c r="C81" s="34" t="s">
        <v>102</v>
      </c>
    </row>
    <row r="82" spans="1:3" x14ac:dyDescent="0.2">
      <c r="B82" s="127">
        <v>31</v>
      </c>
      <c r="C82" s="34" t="s">
        <v>102</v>
      </c>
    </row>
    <row r="83" spans="1:3" x14ac:dyDescent="0.2">
      <c r="B83" s="127">
        <v>32</v>
      </c>
      <c r="C83" s="34" t="s">
        <v>102</v>
      </c>
    </row>
    <row r="84" spans="1:3" x14ac:dyDescent="0.2">
      <c r="B84" s="127">
        <v>33</v>
      </c>
      <c r="C84" s="34" t="s">
        <v>102</v>
      </c>
    </row>
    <row r="85" spans="1:3" x14ac:dyDescent="0.2">
      <c r="B85" s="127">
        <v>34</v>
      </c>
      <c r="C85" s="34" t="s">
        <v>102</v>
      </c>
    </row>
    <row r="86" spans="1:3" x14ac:dyDescent="0.2">
      <c r="B86" s="127">
        <v>35</v>
      </c>
      <c r="C86" s="34" t="s">
        <v>102</v>
      </c>
    </row>
    <row r="87" spans="1:3" x14ac:dyDescent="0.2">
      <c r="B87" s="128"/>
    </row>
    <row r="88" spans="1:3" x14ac:dyDescent="0.2">
      <c r="A88" t="s">
        <v>62</v>
      </c>
    </row>
    <row r="89" spans="1:3" x14ac:dyDescent="0.2">
      <c r="B89" s="127">
        <v>10</v>
      </c>
      <c r="C89" s="34" t="s">
        <v>105</v>
      </c>
    </row>
    <row r="90" spans="1:3" x14ac:dyDescent="0.2">
      <c r="B90" s="127">
        <v>20</v>
      </c>
      <c r="C90" s="34" t="s">
        <v>105</v>
      </c>
    </row>
    <row r="91" spans="1:3" x14ac:dyDescent="0.2">
      <c r="B91" s="127">
        <v>30</v>
      </c>
      <c r="C91" s="34" t="s">
        <v>105</v>
      </c>
    </row>
    <row r="92" spans="1:3" x14ac:dyDescent="0.2">
      <c r="B92" s="127">
        <v>40</v>
      </c>
      <c r="C92" s="34" t="s">
        <v>105</v>
      </c>
    </row>
    <row r="93" spans="1:3" x14ac:dyDescent="0.2">
      <c r="B93" s="127">
        <v>50</v>
      </c>
      <c r="C93" s="34" t="s">
        <v>105</v>
      </c>
    </row>
    <row r="94" spans="1:3" x14ac:dyDescent="0.2">
      <c r="B94" s="127">
        <v>60</v>
      </c>
      <c r="C94" s="34" t="s">
        <v>105</v>
      </c>
    </row>
    <row r="95" spans="1:3" x14ac:dyDescent="0.2">
      <c r="B95" s="127">
        <v>70</v>
      </c>
      <c r="C95" s="34" t="s">
        <v>105</v>
      </c>
    </row>
    <row r="96" spans="1:3" x14ac:dyDescent="0.2">
      <c r="B96" s="127">
        <v>80</v>
      </c>
      <c r="C96" s="34" t="s">
        <v>105</v>
      </c>
    </row>
    <row r="97" spans="2:3" x14ac:dyDescent="0.2">
      <c r="B97" s="127">
        <v>90</v>
      </c>
      <c r="C97" s="34" t="s">
        <v>105</v>
      </c>
    </row>
    <row r="98" spans="2:3" x14ac:dyDescent="0.2">
      <c r="B98" s="127">
        <v>100</v>
      </c>
      <c r="C98" s="34" t="s">
        <v>105</v>
      </c>
    </row>
    <row r="99" spans="2:3" x14ac:dyDescent="0.2">
      <c r="B99" s="127">
        <v>110</v>
      </c>
      <c r="C99" s="34" t="s">
        <v>105</v>
      </c>
    </row>
    <row r="100" spans="2:3" x14ac:dyDescent="0.2">
      <c r="B100" s="127">
        <v>120</v>
      </c>
      <c r="C100" s="34" t="s">
        <v>105</v>
      </c>
    </row>
    <row r="101" spans="2:3" x14ac:dyDescent="0.2">
      <c r="B101" s="127">
        <v>130</v>
      </c>
      <c r="C101" s="34" t="s">
        <v>105</v>
      </c>
    </row>
    <row r="102" spans="2:3" x14ac:dyDescent="0.2">
      <c r="B102" s="127">
        <v>140</v>
      </c>
      <c r="C102" s="34" t="s">
        <v>105</v>
      </c>
    </row>
    <row r="103" spans="2:3" x14ac:dyDescent="0.2">
      <c r="B103" s="127">
        <v>150</v>
      </c>
      <c r="C103" s="34" t="s">
        <v>105</v>
      </c>
    </row>
    <row r="104" spans="2:3" x14ac:dyDescent="0.2">
      <c r="B104" s="127">
        <v>160</v>
      </c>
      <c r="C104" s="34" t="s">
        <v>105</v>
      </c>
    </row>
    <row r="105" spans="2:3" x14ac:dyDescent="0.2">
      <c r="B105" s="127">
        <v>170</v>
      </c>
      <c r="C105" s="34" t="s">
        <v>105</v>
      </c>
    </row>
    <row r="106" spans="2:3" x14ac:dyDescent="0.2">
      <c r="B106" s="127">
        <v>180</v>
      </c>
      <c r="C106" s="34" t="s">
        <v>105</v>
      </c>
    </row>
    <row r="107" spans="2:3" x14ac:dyDescent="0.2">
      <c r="B107" s="127">
        <v>190</v>
      </c>
      <c r="C107" s="34" t="s">
        <v>105</v>
      </c>
    </row>
    <row r="108" spans="2:3" x14ac:dyDescent="0.2">
      <c r="B108" s="127">
        <v>200</v>
      </c>
      <c r="C108" s="3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W69"/>
  <sheetViews>
    <sheetView showGridLines="0" topLeftCell="B22" zoomScaleNormal="100" workbookViewId="0">
      <selection activeCell="T29" sqref="T29"/>
    </sheetView>
  </sheetViews>
  <sheetFormatPr baseColWidth="10" defaultColWidth="11.5" defaultRowHeight="15" x14ac:dyDescent="0.2"/>
  <cols>
    <col min="1" max="1" width="32.33203125" hidden="1" customWidth="1"/>
    <col min="2" max="2" width="32.33203125" customWidth="1"/>
    <col min="3" max="3" width="4.6640625" bestFit="1" customWidth="1"/>
    <col min="4" max="4" width="29.6640625" hidden="1" customWidth="1"/>
    <col min="5" max="9" width="10.5" customWidth="1"/>
    <col min="10" max="10" width="8.6640625" hidden="1" customWidth="1"/>
    <col min="11" max="11" width="13.33203125" hidden="1" customWidth="1"/>
    <col min="12" max="12" width="11.33203125" hidden="1" customWidth="1"/>
    <col min="13" max="13" width="13.6640625" hidden="1" customWidth="1"/>
    <col min="14" max="14" width="8.6640625" hidden="1" customWidth="1"/>
    <col min="15" max="15" width="9.6640625" hidden="1" customWidth="1"/>
    <col min="16" max="16" width="13.33203125" hidden="1" customWidth="1"/>
    <col min="17" max="17" width="9.6640625" hidden="1" customWidth="1"/>
    <col min="18" max="18" width="13.6640625" hidden="1" customWidth="1"/>
    <col min="19" max="19" width="8.6640625" hidden="1" customWidth="1"/>
    <col min="23" max="23" width="13.1640625" hidden="1" customWidth="1"/>
  </cols>
  <sheetData>
    <row r="1" spans="3:18" ht="15.5" hidden="1" customHeight="1" x14ac:dyDescent="0.2">
      <c r="E1" s="171" t="str">
        <f>'2. Implementation rate'!D3</f>
        <v>Low scenario</v>
      </c>
      <c r="F1" s="10"/>
      <c r="G1" s="171" t="str">
        <f>'2. Implementation rate'!K3</f>
        <v>Medium scenario</v>
      </c>
      <c r="H1" s="10"/>
      <c r="I1" s="171" t="str">
        <f>'2. Implementation rate'!R3</f>
        <v>High scenario</v>
      </c>
      <c r="J1" s="10"/>
      <c r="K1" s="171" t="s">
        <v>37</v>
      </c>
      <c r="L1" s="10"/>
      <c r="M1" s="171" t="e">
        <f>'2. Implementation rate'!#REF!</f>
        <v>#REF!</v>
      </c>
      <c r="N1" s="10"/>
      <c r="O1" s="14"/>
      <c r="P1" s="15"/>
      <c r="Q1" s="13"/>
      <c r="R1" s="13"/>
    </row>
    <row r="2" spans="3:18" ht="80" hidden="1" x14ac:dyDescent="0.2">
      <c r="C2" s="6" t="s">
        <v>9</v>
      </c>
      <c r="D2" s="6"/>
      <c r="E2" s="171"/>
      <c r="F2" s="11" t="s">
        <v>32</v>
      </c>
      <c r="G2" s="171"/>
      <c r="H2" s="11" t="s">
        <v>32</v>
      </c>
      <c r="I2" s="171"/>
      <c r="J2" s="11" t="s">
        <v>32</v>
      </c>
      <c r="K2" s="172"/>
      <c r="L2" s="11" t="s">
        <v>13</v>
      </c>
      <c r="M2" s="172"/>
      <c r="N2" s="11"/>
      <c r="O2" s="16" t="s">
        <v>11</v>
      </c>
      <c r="P2" s="17" t="s">
        <v>12</v>
      </c>
    </row>
    <row r="3" spans="3:18" ht="18" hidden="1" customHeight="1" x14ac:dyDescent="0.2">
      <c r="C3" s="5">
        <v>1</v>
      </c>
      <c r="D3" s="5"/>
      <c r="E3" s="171"/>
      <c r="F3" s="39">
        <f>IFERROR(VLOOKUP($F$2,Tabelle5[],2,FALSE)*SUM('2. Implementation rate'!D6:H6),0)</f>
        <v>0</v>
      </c>
      <c r="G3" s="171"/>
      <c r="H3" s="39">
        <f>IFERROR(VLOOKUP($H$2,Tabelle5[],2,FALSE)*SUM('2. Implementation rate'!K6:O6),0)</f>
        <v>0</v>
      </c>
      <c r="I3" s="171"/>
      <c r="J3" s="39">
        <f>IFERROR(VLOOKUP($J$2,Tabelle5[],2,FALSE)*SUM('2. Implementation rate'!R6:V6),0)</f>
        <v>0</v>
      </c>
      <c r="K3" s="172"/>
      <c r="L3" s="12">
        <f>IFERROR(VLOOKUP($L$2,Tabelle5[],2,FALSE)*SUM('2. Implementation rate'!#REF!),0)</f>
        <v>0</v>
      </c>
      <c r="M3" s="172"/>
      <c r="N3" s="12">
        <f>IFERROR(VLOOKUP($N$2,Tabelle5[],2,FALSE)*SUM('2. Implementation rate'!#REF!),0)</f>
        <v>0</v>
      </c>
      <c r="O3" s="18">
        <f t="shared" ref="O3:O17" si="0">SUM(F3:F3,H3:H3,J3:J3,L3:L3,N3:N3)</f>
        <v>0</v>
      </c>
      <c r="P3" s="30">
        <f>O3</f>
        <v>0</v>
      </c>
    </row>
    <row r="4" spans="3:18" ht="18" hidden="1" customHeight="1" x14ac:dyDescent="0.2">
      <c r="C4" s="5">
        <v>2</v>
      </c>
      <c r="D4" s="5"/>
      <c r="E4" s="171"/>
      <c r="F4" s="39">
        <f>IFERROR(VLOOKUP($F$2,Tabelle5[],2,FALSE)*SUM('2. Implementation rate'!D7:H7),0)</f>
        <v>0</v>
      </c>
      <c r="G4" s="171"/>
      <c r="H4" s="39">
        <f>IFERROR(VLOOKUP($H$2,Tabelle5[],2,FALSE)*SUM('2. Implementation rate'!K7:O7),0)</f>
        <v>0</v>
      </c>
      <c r="I4" s="171"/>
      <c r="J4" s="39">
        <f>IFERROR(VLOOKUP($J$2,Tabelle5[],2,FALSE)*SUM('2. Implementation rate'!R7:V7),0)</f>
        <v>0</v>
      </c>
      <c r="K4" s="172"/>
      <c r="L4" s="12">
        <f>IFERROR(VLOOKUP($L$2,Tabelle5[],2,FALSE)*SUM('2. Implementation rate'!#REF!),0)</f>
        <v>0</v>
      </c>
      <c r="M4" s="172"/>
      <c r="N4" s="12">
        <f>IFERROR(VLOOKUP($N$2,Tabelle5[],2,FALSE)*SUM('2. Implementation rate'!#REF!),0)</f>
        <v>0</v>
      </c>
      <c r="O4" s="18">
        <f t="shared" si="0"/>
        <v>0</v>
      </c>
      <c r="P4" s="30">
        <f t="shared" ref="P4:P17" si="1">O4+P3</f>
        <v>0</v>
      </c>
    </row>
    <row r="5" spans="3:18" ht="18" hidden="1" customHeight="1" x14ac:dyDescent="0.2">
      <c r="C5" s="5">
        <v>3</v>
      </c>
      <c r="D5" s="5"/>
      <c r="E5" s="171"/>
      <c r="F5" s="39">
        <f>IFERROR(VLOOKUP($F$2,Tabelle5[],2,FALSE)*SUM('2. Implementation rate'!D8:H8),0)</f>
        <v>0</v>
      </c>
      <c r="G5" s="171"/>
      <c r="H5" s="39">
        <f>IFERROR(VLOOKUP($H$2,Tabelle5[],2,FALSE)*SUM('2. Implementation rate'!K8:O8),0)</f>
        <v>0</v>
      </c>
      <c r="I5" s="171"/>
      <c r="J5" s="39">
        <f>IFERROR(VLOOKUP($J$2,Tabelle5[],2,FALSE)*SUM('2. Implementation rate'!R8:V8),0)</f>
        <v>0</v>
      </c>
      <c r="K5" s="172"/>
      <c r="L5" s="12">
        <f>IFERROR(VLOOKUP($L$2,Tabelle5[],2,FALSE)*SUM('2. Implementation rate'!#REF!),0)</f>
        <v>0</v>
      </c>
      <c r="M5" s="172"/>
      <c r="N5" s="12">
        <f>IFERROR(VLOOKUP($N$2,Tabelle5[],2,FALSE)*SUM('2. Implementation rate'!#REF!),0)</f>
        <v>0</v>
      </c>
      <c r="O5" s="18">
        <f t="shared" si="0"/>
        <v>0</v>
      </c>
      <c r="P5" s="30">
        <f t="shared" si="1"/>
        <v>0</v>
      </c>
    </row>
    <row r="6" spans="3:18" ht="18" hidden="1" customHeight="1" x14ac:dyDescent="0.2">
      <c r="C6" s="5">
        <v>4</v>
      </c>
      <c r="D6" s="5"/>
      <c r="E6" s="171"/>
      <c r="F6" s="39">
        <f>IFERROR(VLOOKUP($F$2,Tabelle5[],2,FALSE)*SUM('2. Implementation rate'!D9:H9),0)</f>
        <v>0</v>
      </c>
      <c r="G6" s="171"/>
      <c r="H6" s="39">
        <f>IFERROR(VLOOKUP($H$2,Tabelle5[],2,FALSE)*SUM('2. Implementation rate'!K9:O9),0)</f>
        <v>0</v>
      </c>
      <c r="I6" s="171"/>
      <c r="J6" s="39">
        <f>IFERROR(VLOOKUP($J$2,Tabelle5[],2,FALSE)*SUM('2. Implementation rate'!R9:V9),0)</f>
        <v>0</v>
      </c>
      <c r="K6" s="172"/>
      <c r="L6" s="12">
        <f>IFERROR(VLOOKUP($L$2,Tabelle5[],2,FALSE)*SUM('2. Implementation rate'!#REF!),0)</f>
        <v>0</v>
      </c>
      <c r="M6" s="172"/>
      <c r="N6" s="12">
        <f>IFERROR(VLOOKUP($N$2,Tabelle5[],2,FALSE)*SUM('2. Implementation rate'!#REF!),0)</f>
        <v>0</v>
      </c>
      <c r="O6" s="18">
        <f t="shared" si="0"/>
        <v>0</v>
      </c>
      <c r="P6" s="30">
        <f t="shared" si="1"/>
        <v>0</v>
      </c>
    </row>
    <row r="7" spans="3:18" ht="18" hidden="1" customHeight="1" x14ac:dyDescent="0.2">
      <c r="C7" s="5">
        <v>5</v>
      </c>
      <c r="D7" s="5"/>
      <c r="E7" s="171"/>
      <c r="F7" s="39">
        <f>IFERROR(VLOOKUP($F$2,Tabelle5[],2,FALSE)*SUM('2. Implementation rate'!D10:H10),0)</f>
        <v>0</v>
      </c>
      <c r="G7" s="171"/>
      <c r="H7" s="39">
        <f>IFERROR(VLOOKUP($H$2,Tabelle5[],2,FALSE)*SUM('2. Implementation rate'!K10:O10),0)</f>
        <v>0</v>
      </c>
      <c r="I7" s="171"/>
      <c r="J7" s="39">
        <f>IFERROR(VLOOKUP($J$2,Tabelle5[],2,FALSE)*SUM('2. Implementation rate'!R10:V10),0)</f>
        <v>0</v>
      </c>
      <c r="K7" s="172"/>
      <c r="L7" s="12">
        <f>IFERROR(VLOOKUP($L$2,Tabelle5[],2,FALSE)*SUM('2. Implementation rate'!#REF!),0)</f>
        <v>0</v>
      </c>
      <c r="M7" s="172"/>
      <c r="N7" s="12">
        <f>IFERROR(VLOOKUP($N$2,Tabelle5[],2,FALSE)*SUM('2. Implementation rate'!#REF!),0)</f>
        <v>0</v>
      </c>
      <c r="O7" s="18">
        <f t="shared" si="0"/>
        <v>0</v>
      </c>
      <c r="P7" s="30">
        <f t="shared" si="1"/>
        <v>0</v>
      </c>
    </row>
    <row r="8" spans="3:18" ht="18" hidden="1" customHeight="1" x14ac:dyDescent="0.2">
      <c r="C8" s="5">
        <v>6</v>
      </c>
      <c r="D8" s="5"/>
      <c r="E8" s="171"/>
      <c r="F8" s="39">
        <f>IFERROR(VLOOKUP($F$2,Tabelle5[],2,FALSE)*SUM('2. Implementation rate'!D11:H11),0)</f>
        <v>0</v>
      </c>
      <c r="G8" s="171"/>
      <c r="H8" s="39">
        <f>IFERROR(VLOOKUP($H$2,Tabelle5[],2,FALSE)*SUM('2. Implementation rate'!K11:O11),0)</f>
        <v>0</v>
      </c>
      <c r="I8" s="171"/>
      <c r="J8" s="39">
        <f>IFERROR(VLOOKUP($J$2,Tabelle5[],2,FALSE)*SUM('2. Implementation rate'!R11:V11),0)</f>
        <v>0</v>
      </c>
      <c r="K8" s="172"/>
      <c r="L8" s="12">
        <f>IFERROR(VLOOKUP($L$2,Tabelle5[],2,FALSE)*SUM('2. Implementation rate'!#REF!),0)</f>
        <v>0</v>
      </c>
      <c r="M8" s="172"/>
      <c r="N8" s="12">
        <f>IFERROR(VLOOKUP($N$2,Tabelle5[],2,FALSE)*SUM('2. Implementation rate'!#REF!),0)</f>
        <v>0</v>
      </c>
      <c r="O8" s="18">
        <f t="shared" si="0"/>
        <v>0</v>
      </c>
      <c r="P8" s="30">
        <f t="shared" si="1"/>
        <v>0</v>
      </c>
    </row>
    <row r="9" spans="3:18" ht="18" hidden="1" customHeight="1" x14ac:dyDescent="0.2">
      <c r="C9" s="5">
        <v>7</v>
      </c>
      <c r="D9" s="5"/>
      <c r="E9" s="171"/>
      <c r="F9" s="39">
        <f>IFERROR(VLOOKUP($F$2,Tabelle5[],2,FALSE)*SUM('2. Implementation rate'!D12:H12),0)</f>
        <v>0</v>
      </c>
      <c r="G9" s="171"/>
      <c r="H9" s="39">
        <f>IFERROR(VLOOKUP($H$2,Tabelle5[],2,FALSE)*SUM('2. Implementation rate'!K12:O12),0)</f>
        <v>0</v>
      </c>
      <c r="I9" s="171"/>
      <c r="J9" s="39">
        <f>IFERROR(VLOOKUP($J$2,Tabelle5[],2,FALSE)*SUM('2. Implementation rate'!R12:V12),0)</f>
        <v>0</v>
      </c>
      <c r="K9" s="172"/>
      <c r="L9" s="12">
        <f>IFERROR(VLOOKUP($L$2,Tabelle5[],2,FALSE)*SUM('2. Implementation rate'!#REF!),0)</f>
        <v>0</v>
      </c>
      <c r="M9" s="172"/>
      <c r="N9" s="12">
        <f>IFERROR(VLOOKUP($N$2,Tabelle5[],2,FALSE)*SUM('2. Implementation rate'!#REF!),0)</f>
        <v>0</v>
      </c>
      <c r="O9" s="18">
        <f t="shared" si="0"/>
        <v>0</v>
      </c>
      <c r="P9" s="30">
        <f t="shared" si="1"/>
        <v>0</v>
      </c>
    </row>
    <row r="10" spans="3:18" ht="18" hidden="1" customHeight="1" x14ac:dyDescent="0.2">
      <c r="C10" s="5">
        <v>8</v>
      </c>
      <c r="D10" s="5"/>
      <c r="E10" s="171"/>
      <c r="F10" s="39">
        <f>IFERROR(VLOOKUP($F$2,Tabelle5[],2,FALSE)*SUM('2. Implementation rate'!D13:H13),0)</f>
        <v>0</v>
      </c>
      <c r="G10" s="171"/>
      <c r="H10" s="39">
        <f>IFERROR(VLOOKUP($H$2,Tabelle5[],2,FALSE)*SUM('2. Implementation rate'!K13:O13),0)</f>
        <v>0</v>
      </c>
      <c r="I10" s="171"/>
      <c r="J10" s="39">
        <f>IFERROR(VLOOKUP($J$2,Tabelle5[],2,FALSE)*SUM('2. Implementation rate'!R13:V13),0)</f>
        <v>0</v>
      </c>
      <c r="K10" s="172"/>
      <c r="L10" s="12">
        <f>IFERROR(VLOOKUP($L$2,Tabelle5[],2,FALSE)*SUM('2. Implementation rate'!#REF!),0)</f>
        <v>0</v>
      </c>
      <c r="M10" s="172"/>
      <c r="N10" s="12">
        <f>IFERROR(VLOOKUP($N$2,Tabelle5[],2,FALSE)*SUM('2. Implementation rate'!#REF!),0)</f>
        <v>0</v>
      </c>
      <c r="O10" s="18">
        <f t="shared" si="0"/>
        <v>0</v>
      </c>
      <c r="P10" s="30">
        <f t="shared" si="1"/>
        <v>0</v>
      </c>
    </row>
    <row r="11" spans="3:18" ht="18" hidden="1" customHeight="1" x14ac:dyDescent="0.2">
      <c r="C11" s="5">
        <v>9</v>
      </c>
      <c r="D11" s="5"/>
      <c r="E11" s="171"/>
      <c r="F11" s="39">
        <f>IFERROR(VLOOKUP($F$2,Tabelle5[],2,FALSE)*SUM('2. Implementation rate'!D14:H14),0)</f>
        <v>0</v>
      </c>
      <c r="G11" s="171"/>
      <c r="H11" s="39">
        <f>IFERROR(VLOOKUP($H$2,Tabelle5[],2,FALSE)*SUM('2. Implementation rate'!K14:O14),0)</f>
        <v>0</v>
      </c>
      <c r="I11" s="171"/>
      <c r="J11" s="39">
        <f>IFERROR(VLOOKUP($J$2,Tabelle5[],2,FALSE)*SUM('2. Implementation rate'!R14:V14),0)</f>
        <v>0</v>
      </c>
      <c r="K11" s="172"/>
      <c r="L11" s="12">
        <f>IFERROR(VLOOKUP($L$2,Tabelle5[],2,FALSE)*SUM('2. Implementation rate'!#REF!),0)</f>
        <v>0</v>
      </c>
      <c r="M11" s="172"/>
      <c r="N11" s="12">
        <f>IFERROR(VLOOKUP($N$2,Tabelle5[],2,FALSE)*SUM('2. Implementation rate'!#REF!),0)</f>
        <v>0</v>
      </c>
      <c r="O11" s="18">
        <f t="shared" si="0"/>
        <v>0</v>
      </c>
      <c r="P11" s="30">
        <f t="shared" si="1"/>
        <v>0</v>
      </c>
    </row>
    <row r="12" spans="3:18" ht="18" hidden="1" customHeight="1" x14ac:dyDescent="0.2">
      <c r="C12" s="5">
        <v>10</v>
      </c>
      <c r="D12" s="5"/>
      <c r="E12" s="171"/>
      <c r="F12" s="39">
        <f>IFERROR(VLOOKUP($F$2,Tabelle5[],2,FALSE)*SUM('2. Implementation rate'!D15:H15),0)</f>
        <v>0</v>
      </c>
      <c r="G12" s="171"/>
      <c r="H12" s="39">
        <f>IFERROR(VLOOKUP($H$2,Tabelle5[],2,FALSE)*SUM('2. Implementation rate'!K15:O15),0)</f>
        <v>0</v>
      </c>
      <c r="I12" s="171"/>
      <c r="J12" s="39">
        <f>IFERROR(VLOOKUP($J$2,Tabelle5[],2,FALSE)*SUM('2. Implementation rate'!R15:V15),0)</f>
        <v>0</v>
      </c>
      <c r="K12" s="172"/>
      <c r="L12" s="12">
        <f>IFERROR(VLOOKUP($L$2,Tabelle5[],2,FALSE)*SUM('2. Implementation rate'!#REF!),0)</f>
        <v>0</v>
      </c>
      <c r="M12" s="172"/>
      <c r="N12" s="12">
        <f>IFERROR(VLOOKUP($N$2,Tabelle5[],2,FALSE)*SUM('2. Implementation rate'!#REF!),0)</f>
        <v>0</v>
      </c>
      <c r="O12" s="18">
        <f t="shared" si="0"/>
        <v>0</v>
      </c>
      <c r="P12" s="30">
        <f t="shared" si="1"/>
        <v>0</v>
      </c>
    </row>
    <row r="13" spans="3:18" ht="18" hidden="1" customHeight="1" x14ac:dyDescent="0.2">
      <c r="C13" s="5">
        <v>11</v>
      </c>
      <c r="D13" s="5"/>
      <c r="E13" s="171"/>
      <c r="F13" s="39">
        <f>IFERROR(VLOOKUP($F$2,Tabelle5[],2,FALSE)*SUM('2. Implementation rate'!D16:H16),0)</f>
        <v>0</v>
      </c>
      <c r="G13" s="171"/>
      <c r="H13" s="39">
        <f>IFERROR(VLOOKUP($H$2,Tabelle5[],2,FALSE)*SUM('2. Implementation rate'!K16:O16),0)</f>
        <v>0</v>
      </c>
      <c r="I13" s="171"/>
      <c r="J13" s="39">
        <f>IFERROR(VLOOKUP($J$2,Tabelle5[],2,FALSE)*SUM('2. Implementation rate'!R16:V16),0)</f>
        <v>0</v>
      </c>
      <c r="K13" s="172"/>
      <c r="L13" s="12">
        <f>IFERROR(VLOOKUP($L$2,Tabelle5[],2,FALSE)*SUM('2. Implementation rate'!#REF!),0)</f>
        <v>0</v>
      </c>
      <c r="M13" s="172"/>
      <c r="N13" s="12">
        <f>IFERROR(VLOOKUP($N$2,Tabelle5[],2,FALSE)*SUM('2. Implementation rate'!#REF!),0)</f>
        <v>0</v>
      </c>
      <c r="O13" s="18">
        <f t="shared" si="0"/>
        <v>0</v>
      </c>
      <c r="P13" s="30">
        <f t="shared" si="1"/>
        <v>0</v>
      </c>
    </row>
    <row r="14" spans="3:18" ht="18" hidden="1" customHeight="1" x14ac:dyDescent="0.2">
      <c r="C14" s="5">
        <v>12</v>
      </c>
      <c r="D14" s="5"/>
      <c r="E14" s="171"/>
      <c r="F14" s="39">
        <f>IFERROR(VLOOKUP($F$2,Tabelle5[],2,FALSE)*SUM('2. Implementation rate'!D17:H17),0)</f>
        <v>0</v>
      </c>
      <c r="G14" s="171"/>
      <c r="H14" s="39">
        <f>IFERROR(VLOOKUP($H$2,Tabelle5[],2,FALSE)*SUM('2. Implementation rate'!K17:O17),0)</f>
        <v>0</v>
      </c>
      <c r="I14" s="171"/>
      <c r="J14" s="39">
        <f>IFERROR(VLOOKUP($J$2,Tabelle5[],2,FALSE)*SUM('2. Implementation rate'!R17:V17),0)</f>
        <v>0</v>
      </c>
      <c r="K14" s="172"/>
      <c r="L14" s="12">
        <f>IFERROR(VLOOKUP($L$2,Tabelle5[],2,FALSE)*SUM('2. Implementation rate'!#REF!),0)</f>
        <v>0</v>
      </c>
      <c r="M14" s="172"/>
      <c r="N14" s="12">
        <f>IFERROR(VLOOKUP($N$2,Tabelle5[],2,FALSE)*SUM('2. Implementation rate'!#REF!),0)</f>
        <v>0</v>
      </c>
      <c r="O14" s="18">
        <f t="shared" si="0"/>
        <v>0</v>
      </c>
      <c r="P14" s="30">
        <f t="shared" si="1"/>
        <v>0</v>
      </c>
    </row>
    <row r="15" spans="3:18" ht="18" hidden="1" customHeight="1" x14ac:dyDescent="0.2">
      <c r="C15" s="5">
        <v>13</v>
      </c>
      <c r="D15" s="5"/>
      <c r="E15" s="171"/>
      <c r="F15" s="39">
        <f>IFERROR(VLOOKUP($F$2,Tabelle5[],2,FALSE)*SUM('2. Implementation rate'!D18:H18),0)</f>
        <v>0</v>
      </c>
      <c r="G15" s="171"/>
      <c r="H15" s="39">
        <f>IFERROR(VLOOKUP($H$2,Tabelle5[],2,FALSE)*SUM('2. Implementation rate'!K18:O18),0)</f>
        <v>0</v>
      </c>
      <c r="I15" s="171"/>
      <c r="J15" s="39">
        <f>IFERROR(VLOOKUP($J$2,Tabelle5[],2,FALSE)*SUM('2. Implementation rate'!R18:V18),0)</f>
        <v>0</v>
      </c>
      <c r="K15" s="172"/>
      <c r="L15" s="12">
        <f>IFERROR(VLOOKUP($L$2,Tabelle5[],2,FALSE)*SUM('2. Implementation rate'!#REF!),0)</f>
        <v>0</v>
      </c>
      <c r="M15" s="172"/>
      <c r="N15" s="12">
        <f>IFERROR(VLOOKUP($N$2,Tabelle5[],2,FALSE)*SUM('2. Implementation rate'!#REF!),0)</f>
        <v>0</v>
      </c>
      <c r="O15" s="18">
        <f t="shared" si="0"/>
        <v>0</v>
      </c>
      <c r="P15" s="30">
        <f t="shared" si="1"/>
        <v>0</v>
      </c>
    </row>
    <row r="16" spans="3:18" ht="18" hidden="1" customHeight="1" x14ac:dyDescent="0.2">
      <c r="C16" s="5">
        <v>14</v>
      </c>
      <c r="D16" s="5"/>
      <c r="E16" s="171"/>
      <c r="F16" s="39">
        <f>IFERROR(VLOOKUP($F$2,Tabelle5[],2,FALSE)*SUM('2. Implementation rate'!D19:H19),0)</f>
        <v>0</v>
      </c>
      <c r="G16" s="171"/>
      <c r="H16" s="39">
        <f>IFERROR(VLOOKUP($H$2,Tabelle5[],2,FALSE)*SUM('2. Implementation rate'!K19:O19),0)</f>
        <v>0</v>
      </c>
      <c r="I16" s="171"/>
      <c r="J16" s="39">
        <f>IFERROR(VLOOKUP($J$2,Tabelle5[],2,FALSE)*SUM('2. Implementation rate'!R19:V19),0)</f>
        <v>0</v>
      </c>
      <c r="K16" s="172"/>
      <c r="L16" s="12">
        <f>IFERROR(VLOOKUP($L$2,Tabelle5[],2,FALSE)*SUM('2. Implementation rate'!#REF!),0)</f>
        <v>0</v>
      </c>
      <c r="M16" s="172"/>
      <c r="N16" s="12">
        <f>IFERROR(VLOOKUP($N$2,Tabelle5[],2,FALSE)*SUM('2. Implementation rate'!#REF!),0)</f>
        <v>0</v>
      </c>
      <c r="O16" s="18">
        <f t="shared" si="0"/>
        <v>0</v>
      </c>
      <c r="P16" s="30">
        <f t="shared" si="1"/>
        <v>0</v>
      </c>
    </row>
    <row r="17" spans="1:23" ht="18" hidden="1" customHeight="1" x14ac:dyDescent="0.2">
      <c r="C17" s="5">
        <v>15</v>
      </c>
      <c r="D17" s="5"/>
      <c r="E17" s="171"/>
      <c r="F17" s="39">
        <f>IFERROR(VLOOKUP($F$2,Tabelle5[],2,FALSE)*SUM('2. Implementation rate'!D20:H20),0)</f>
        <v>0</v>
      </c>
      <c r="G17" s="171"/>
      <c r="H17" s="39">
        <f>IFERROR(VLOOKUP($H$2,Tabelle5[],2,FALSE)*SUM('2. Implementation rate'!K20:O20),0)</f>
        <v>0</v>
      </c>
      <c r="I17" s="171"/>
      <c r="J17" s="39">
        <f>IFERROR(VLOOKUP($J$2,Tabelle5[],2,FALSE)*SUM('2. Implementation rate'!R20:V20),0)</f>
        <v>0</v>
      </c>
      <c r="K17" s="172"/>
      <c r="L17" s="12">
        <f>IFERROR(VLOOKUP($L$2,Tabelle5[],2,FALSE)*SUM('2. Implementation rate'!#REF!),0)</f>
        <v>0</v>
      </c>
      <c r="M17" s="172"/>
      <c r="N17" s="12">
        <f>IFERROR(VLOOKUP($N$2,Tabelle5[],2,FALSE)*SUM('2. Implementation rate'!#REF!),0)</f>
        <v>0</v>
      </c>
      <c r="O17" s="18">
        <f t="shared" si="0"/>
        <v>0</v>
      </c>
      <c r="P17" s="30">
        <f t="shared" si="1"/>
        <v>0</v>
      </c>
    </row>
    <row r="18" spans="1:23" ht="18" hidden="1" customHeight="1" x14ac:dyDescent="0.2">
      <c r="E18" t="s">
        <v>15</v>
      </c>
      <c r="F18" s="40">
        <f>SUM(F3:F17)</f>
        <v>0</v>
      </c>
      <c r="G18" s="2"/>
      <c r="H18" s="40">
        <f>SUM(H3:H17)</f>
        <v>0</v>
      </c>
      <c r="I18" s="2"/>
      <c r="J18" s="40">
        <f>SUM(J3:J17)</f>
        <v>0</v>
      </c>
      <c r="K18" s="2"/>
      <c r="L18" s="2">
        <f>SUM(L3:L17)</f>
        <v>0</v>
      </c>
      <c r="M18" s="2"/>
      <c r="N18" s="2">
        <f>SUM(N3:N17)</f>
        <v>0</v>
      </c>
      <c r="R18" s="28" t="s">
        <v>10</v>
      </c>
      <c r="S18" s="29"/>
      <c r="T18" s="29"/>
      <c r="U18" s="29"/>
      <c r="V18" s="29"/>
      <c r="W18" s="29"/>
    </row>
    <row r="19" spans="1:23" hidden="1" x14ac:dyDescent="0.2">
      <c r="T19" s="27"/>
      <c r="U19" s="27"/>
      <c r="V19" s="27"/>
      <c r="W19" s="27"/>
    </row>
    <row r="20" spans="1:23" hidden="1" x14ac:dyDescent="0.2"/>
    <row r="21" spans="1:23" hidden="1" x14ac:dyDescent="0.2"/>
    <row r="22" spans="1:23" x14ac:dyDescent="0.2">
      <c r="E22" s="173" t="s">
        <v>43</v>
      </c>
      <c r="F22" s="173"/>
      <c r="G22" s="173"/>
      <c r="H22" s="173"/>
      <c r="I22" s="173"/>
      <c r="J22" s="168" t="str">
        <f>'2. Implementation rate'!K3</f>
        <v>Medium scenario</v>
      </c>
      <c r="K22" s="169"/>
      <c r="L22" s="169"/>
      <c r="M22" s="169"/>
      <c r="N22" s="170"/>
      <c r="O22" s="168" t="str">
        <f>'2. Implementation rate'!R3</f>
        <v>High scenario</v>
      </c>
      <c r="P22" s="169"/>
      <c r="Q22" s="169"/>
      <c r="R22" s="169"/>
      <c r="S22" s="170"/>
    </row>
    <row r="23" spans="1:23" x14ac:dyDescent="0.2">
      <c r="E23" s="145">
        <f>'1. ER potentials'!C4</f>
        <v>1</v>
      </c>
      <c r="F23" s="146">
        <f>'1. ER potentials'!C5</f>
        <v>2</v>
      </c>
      <c r="G23" s="146">
        <f>'1. ER potentials'!C6</f>
        <v>3</v>
      </c>
      <c r="H23" s="146">
        <f>'1. ER potentials'!C7</f>
        <v>4</v>
      </c>
      <c r="I23" s="147">
        <f>'1. ER potentials'!C8</f>
        <v>5</v>
      </c>
      <c r="J23" s="67"/>
      <c r="K23" s="69"/>
      <c r="L23" s="69"/>
      <c r="M23" s="69"/>
      <c r="N23" s="68"/>
      <c r="O23" s="67"/>
      <c r="P23" s="69"/>
      <c r="Q23" s="69"/>
      <c r="R23" s="69"/>
      <c r="S23" s="68"/>
    </row>
    <row r="24" spans="1:23" ht="16" x14ac:dyDescent="0.2">
      <c r="A24" t="s">
        <v>40</v>
      </c>
      <c r="C24" s="50" t="s">
        <v>9</v>
      </c>
      <c r="D24" s="51" t="s">
        <v>39</v>
      </c>
      <c r="E24" s="52" t="str">
        <f>'1. ER potentials'!B4</f>
        <v>Low scenario</v>
      </c>
      <c r="F24" s="53" t="str">
        <f>'1. ER potentials'!B5</f>
        <v>Low-Medium scenario</v>
      </c>
      <c r="G24" s="53" t="str">
        <f>'1. ER potentials'!B6</f>
        <v>Medium scenario</v>
      </c>
      <c r="H24" s="53" t="str">
        <f>'1. ER potentials'!B7</f>
        <v>Medium-High scenario</v>
      </c>
      <c r="I24" s="54" t="str">
        <f>'1. ER potentials'!B8</f>
        <v>High scenario</v>
      </c>
      <c r="J24" s="47" t="s">
        <v>32</v>
      </c>
      <c r="K24" s="48" t="s">
        <v>33</v>
      </c>
      <c r="L24" s="48" t="s">
        <v>34</v>
      </c>
      <c r="M24" s="48" t="s">
        <v>38</v>
      </c>
      <c r="N24" s="49" t="s">
        <v>35</v>
      </c>
      <c r="O24" s="47" t="s">
        <v>32</v>
      </c>
      <c r="P24" s="48" t="s">
        <v>33</v>
      </c>
      <c r="Q24" s="48" t="s">
        <v>34</v>
      </c>
      <c r="R24" s="48" t="s">
        <v>38</v>
      </c>
      <c r="S24" s="49" t="s">
        <v>35</v>
      </c>
      <c r="W24" t="str">
        <f>E22</f>
        <v>ER potential per stove</v>
      </c>
    </row>
    <row r="25" spans="1:23" ht="14.5" customHeight="1" x14ac:dyDescent="0.2">
      <c r="A25" t="str">
        <f>+CONCATENATE(C25,"-",D25)</f>
        <v>1-Low scenario</v>
      </c>
      <c r="B25" s="167" t="str">
        <f>'2. Implementation rate'!D3</f>
        <v>Low scenario</v>
      </c>
      <c r="C25" s="55">
        <v>1</v>
      </c>
      <c r="D25" s="56" t="str">
        <f>'2. Implementation rate'!$D$3</f>
        <v>Low scenario</v>
      </c>
      <c r="E25" s="41">
        <f>+'2. Implementation rate'!$I6*VLOOKUP(E$24,Tabelle5[[Emission reduction potential per stove ]:[Value]],2,0)</f>
        <v>3000</v>
      </c>
      <c r="F25" s="42">
        <f>+'2. Implementation rate'!$I6*VLOOKUP(F$24,Tabelle5[[Emission reduction potential per stove ]:[Value]],2,0)</f>
        <v>6000</v>
      </c>
      <c r="G25" s="42">
        <f>+'2. Implementation rate'!$I6*VLOOKUP(G$24,Tabelle5[[Emission reduction potential per stove ]:[Value]],2,0)</f>
        <v>9000</v>
      </c>
      <c r="H25" s="42">
        <f>+'2. Implementation rate'!$I6*VLOOKUP(H$24,Tabelle5[[Emission reduction potential per stove ]:[Value]],2,0)</f>
        <v>12000</v>
      </c>
      <c r="I25" s="43">
        <f>+'2. Implementation rate'!$I6*VLOOKUP(I$24,Tabelle5[[Emission reduction potential per stove ]:[Value]],2,0)</f>
        <v>15000</v>
      </c>
      <c r="W25" t="str">
        <f>J22</f>
        <v>Medium scenario</v>
      </c>
    </row>
    <row r="26" spans="1:23" x14ac:dyDescent="0.2">
      <c r="A26" t="str">
        <f t="shared" ref="A26:A69" si="2">+CONCATENATE(C26,"-",D26)</f>
        <v>2-Low scenario</v>
      </c>
      <c r="B26" s="167"/>
      <c r="C26" s="55">
        <v>2</v>
      </c>
      <c r="D26" s="56" t="str">
        <f>'2. Implementation rate'!$D$3</f>
        <v>Low scenario</v>
      </c>
      <c r="E26" s="41">
        <f>+'2. Implementation rate'!$I7*VLOOKUP(E$24,Tabelle5[[Emission reduction potential per stove ]:[Value]],2,0)</f>
        <v>5850</v>
      </c>
      <c r="F26" s="42">
        <f>+'2. Implementation rate'!$I7*VLOOKUP(F$24,Tabelle5[[Emission reduction potential per stove ]:[Value]],2,0)</f>
        <v>11700</v>
      </c>
      <c r="G26" s="42">
        <f>+'2. Implementation rate'!$I7*VLOOKUP(G$24,Tabelle5[[Emission reduction potential per stove ]:[Value]],2,0)</f>
        <v>17550</v>
      </c>
      <c r="H26" s="42">
        <f>+'2. Implementation rate'!$I7*VLOOKUP(H$24,Tabelle5[[Emission reduction potential per stove ]:[Value]],2,0)</f>
        <v>23400</v>
      </c>
      <c r="I26" s="43">
        <f>+'2. Implementation rate'!$I7*VLOOKUP(I$24,Tabelle5[[Emission reduction potential per stove ]:[Value]],2,0)</f>
        <v>29250</v>
      </c>
      <c r="W26" t="str">
        <f>O22</f>
        <v>High scenario</v>
      </c>
    </row>
    <row r="27" spans="1:23" x14ac:dyDescent="0.2">
      <c r="A27" t="str">
        <f t="shared" si="2"/>
        <v>3-Low scenario</v>
      </c>
      <c r="B27" s="167"/>
      <c r="C27" s="55">
        <v>3</v>
      </c>
      <c r="D27" s="56" t="str">
        <f>'2. Implementation rate'!$D$3</f>
        <v>Low scenario</v>
      </c>
      <c r="E27" s="41">
        <f>+'2. Implementation rate'!$I8*VLOOKUP(E$24,Tabelle5[[Emission reduction potential per stove ]:[Value]],2,0)</f>
        <v>8557.5</v>
      </c>
      <c r="F27" s="42">
        <f>+'2. Implementation rate'!$I8*VLOOKUP(F$24,Tabelle5[[Emission reduction potential per stove ]:[Value]],2,0)</f>
        <v>17115</v>
      </c>
      <c r="G27" s="42">
        <f>+'2. Implementation rate'!$I8*VLOOKUP(G$24,Tabelle5[[Emission reduction potential per stove ]:[Value]],2,0)</f>
        <v>25672.5</v>
      </c>
      <c r="H27" s="42">
        <f>+'2. Implementation rate'!$I8*VLOOKUP(H$24,Tabelle5[[Emission reduction potential per stove ]:[Value]],2,0)</f>
        <v>34230</v>
      </c>
      <c r="I27" s="43">
        <f>+'2. Implementation rate'!$I8*VLOOKUP(I$24,Tabelle5[[Emission reduction potential per stove ]:[Value]],2,0)</f>
        <v>42787.5</v>
      </c>
    </row>
    <row r="28" spans="1:23" x14ac:dyDescent="0.2">
      <c r="A28" t="str">
        <f t="shared" si="2"/>
        <v>4-Low scenario</v>
      </c>
      <c r="B28" s="167"/>
      <c r="C28" s="55">
        <v>4</v>
      </c>
      <c r="D28" s="56" t="str">
        <f>'2. Implementation rate'!$D$3</f>
        <v>Low scenario</v>
      </c>
      <c r="E28" s="41">
        <f>+'2. Implementation rate'!$I9*VLOOKUP(E$24,Tabelle5[[Emission reduction potential per stove ]:[Value]],2,0)</f>
        <v>11129.625</v>
      </c>
      <c r="F28" s="42">
        <f>+'2. Implementation rate'!$I9*VLOOKUP(F$24,Tabelle5[[Emission reduction potential per stove ]:[Value]],2,0)</f>
        <v>22259.25</v>
      </c>
      <c r="G28" s="42">
        <f>+'2. Implementation rate'!$I9*VLOOKUP(G$24,Tabelle5[[Emission reduction potential per stove ]:[Value]],2,0)</f>
        <v>33388.875</v>
      </c>
      <c r="H28" s="42">
        <f>+'2. Implementation rate'!$I9*VLOOKUP(H$24,Tabelle5[[Emission reduction potential per stove ]:[Value]],2,0)</f>
        <v>44518.5</v>
      </c>
      <c r="I28" s="43">
        <f>+'2. Implementation rate'!$I9*VLOOKUP(I$24,Tabelle5[[Emission reduction potential per stove ]:[Value]],2,0)</f>
        <v>55648.125</v>
      </c>
    </row>
    <row r="29" spans="1:23" x14ac:dyDescent="0.2">
      <c r="A29" t="str">
        <f t="shared" si="2"/>
        <v>5-Low scenario</v>
      </c>
      <c r="B29" s="167"/>
      <c r="C29" s="55">
        <v>5</v>
      </c>
      <c r="D29" s="56" t="str">
        <f>'2. Implementation rate'!$D$3</f>
        <v>Low scenario</v>
      </c>
      <c r="E29" s="41">
        <f>+'2. Implementation rate'!$I10*VLOOKUP(E$24,Tabelle5[[Emission reduction potential per stove ]:[Value]],2,0)</f>
        <v>13573.143749999999</v>
      </c>
      <c r="F29" s="42">
        <f>+'2. Implementation rate'!$I10*VLOOKUP(F$24,Tabelle5[[Emission reduction potential per stove ]:[Value]],2,0)</f>
        <v>27146.287499999999</v>
      </c>
      <c r="G29" s="42">
        <f>+'2. Implementation rate'!$I10*VLOOKUP(G$24,Tabelle5[[Emission reduction potential per stove ]:[Value]],2,0)</f>
        <v>40719.431249999994</v>
      </c>
      <c r="H29" s="42">
        <f>+'2. Implementation rate'!$I10*VLOOKUP(H$24,Tabelle5[[Emission reduction potential per stove ]:[Value]],2,0)</f>
        <v>54292.574999999997</v>
      </c>
      <c r="I29" s="43">
        <f>+'2. Implementation rate'!$I10*VLOOKUP(I$24,Tabelle5[[Emission reduction potential per stove ]:[Value]],2,0)</f>
        <v>67865.71875</v>
      </c>
    </row>
    <row r="30" spans="1:23" x14ac:dyDescent="0.2">
      <c r="A30" t="str">
        <f t="shared" si="2"/>
        <v>6-Low scenario</v>
      </c>
      <c r="B30" s="167"/>
      <c r="C30" s="55">
        <v>6</v>
      </c>
      <c r="D30" s="56" t="str">
        <f>'2. Implementation rate'!$D$3</f>
        <v>Low scenario</v>
      </c>
      <c r="E30" s="41">
        <f>+'2. Implementation rate'!$I11*VLOOKUP(E$24,Tabelle5[[Emission reduction potential per stove ]:[Value]],2,0)</f>
        <v>12894.486562499998</v>
      </c>
      <c r="F30" s="42">
        <f>+'2. Implementation rate'!$I11*VLOOKUP(F$24,Tabelle5[[Emission reduction potential per stove ]:[Value]],2,0)</f>
        <v>25788.973124999997</v>
      </c>
      <c r="G30" s="42">
        <f>+'2. Implementation rate'!$I11*VLOOKUP(G$24,Tabelle5[[Emission reduction potential per stove ]:[Value]],2,0)</f>
        <v>38683.459687499999</v>
      </c>
      <c r="H30" s="42">
        <f>+'2. Implementation rate'!$I11*VLOOKUP(H$24,Tabelle5[[Emission reduction potential per stove ]:[Value]],2,0)</f>
        <v>51577.946249999994</v>
      </c>
      <c r="I30" s="43">
        <f>+'2. Implementation rate'!$I11*VLOOKUP(I$24,Tabelle5[[Emission reduction potential per stove ]:[Value]],2,0)</f>
        <v>64472.432812499988</v>
      </c>
    </row>
    <row r="31" spans="1:23" x14ac:dyDescent="0.2">
      <c r="A31" t="str">
        <f t="shared" si="2"/>
        <v>7-Low scenario</v>
      </c>
      <c r="B31" s="167"/>
      <c r="C31" s="55">
        <v>7</v>
      </c>
      <c r="D31" s="56" t="str">
        <f>'2. Implementation rate'!$D$3</f>
        <v>Low scenario</v>
      </c>
      <c r="E31" s="41">
        <f>+'2. Implementation rate'!$I12*VLOOKUP(E$24,Tabelle5[[Emission reduction potential per stove ]:[Value]],2,0)</f>
        <v>12249.762234374999</v>
      </c>
      <c r="F31" s="42">
        <f>+'2. Implementation rate'!$I12*VLOOKUP(F$24,Tabelle5[[Emission reduction potential per stove ]:[Value]],2,0)</f>
        <v>24499.524468749998</v>
      </c>
      <c r="G31" s="42">
        <f>+'2. Implementation rate'!$I12*VLOOKUP(G$24,Tabelle5[[Emission reduction potential per stove ]:[Value]],2,0)</f>
        <v>36749.286703124999</v>
      </c>
      <c r="H31" s="42">
        <f>+'2. Implementation rate'!$I12*VLOOKUP(H$24,Tabelle5[[Emission reduction potential per stove ]:[Value]],2,0)</f>
        <v>48999.048937499996</v>
      </c>
      <c r="I31" s="43">
        <f>+'2. Implementation rate'!$I12*VLOOKUP(I$24,Tabelle5[[Emission reduction potential per stove ]:[Value]],2,0)</f>
        <v>61248.811171874993</v>
      </c>
    </row>
    <row r="32" spans="1:23" x14ac:dyDescent="0.2">
      <c r="A32" t="str">
        <f t="shared" si="2"/>
        <v>8-Low scenario</v>
      </c>
      <c r="B32" s="167"/>
      <c r="C32" s="55">
        <v>8</v>
      </c>
      <c r="D32" s="56" t="str">
        <f>'2. Implementation rate'!$D$3</f>
        <v>Low scenario</v>
      </c>
      <c r="E32" s="41">
        <f>+'2. Implementation rate'!$I13*VLOOKUP(E$24,Tabelle5[[Emission reduction potential per stove ]:[Value]],2,0)</f>
        <v>11637.274122656248</v>
      </c>
      <c r="F32" s="42">
        <f>+'2. Implementation rate'!$I13*VLOOKUP(F$24,Tabelle5[[Emission reduction potential per stove ]:[Value]],2,0)</f>
        <v>23274.548245312497</v>
      </c>
      <c r="G32" s="42">
        <f>+'2. Implementation rate'!$I13*VLOOKUP(G$24,Tabelle5[[Emission reduction potential per stove ]:[Value]],2,0)</f>
        <v>34911.822367968743</v>
      </c>
      <c r="H32" s="42">
        <f>+'2. Implementation rate'!$I13*VLOOKUP(H$24,Tabelle5[[Emission reduction potential per stove ]:[Value]],2,0)</f>
        <v>46549.096490624994</v>
      </c>
      <c r="I32" s="43">
        <f>+'2. Implementation rate'!$I13*VLOOKUP(I$24,Tabelle5[[Emission reduction potential per stove ]:[Value]],2,0)</f>
        <v>58186.370613281244</v>
      </c>
    </row>
    <row r="33" spans="1:9" x14ac:dyDescent="0.2">
      <c r="A33" t="str">
        <f t="shared" si="2"/>
        <v>9-Low scenario</v>
      </c>
      <c r="B33" s="167"/>
      <c r="C33" s="55">
        <v>9</v>
      </c>
      <c r="D33" s="56" t="str">
        <f>'2. Implementation rate'!$D$3</f>
        <v>Low scenario</v>
      </c>
      <c r="E33" s="41">
        <f>+'2. Implementation rate'!$I14*VLOOKUP(E$24,Tabelle5[[Emission reduction potential per stove ]:[Value]],2,0)</f>
        <v>11055.410416523435</v>
      </c>
      <c r="F33" s="42">
        <f>+'2. Implementation rate'!$I14*VLOOKUP(F$24,Tabelle5[[Emission reduction potential per stove ]:[Value]],2,0)</f>
        <v>22110.82083304687</v>
      </c>
      <c r="G33" s="42">
        <f>+'2. Implementation rate'!$I14*VLOOKUP(G$24,Tabelle5[[Emission reduction potential per stove ]:[Value]],2,0)</f>
        <v>33166.231249570308</v>
      </c>
      <c r="H33" s="42">
        <f>+'2. Implementation rate'!$I14*VLOOKUP(H$24,Tabelle5[[Emission reduction potential per stove ]:[Value]],2,0)</f>
        <v>44221.641666093739</v>
      </c>
      <c r="I33" s="43">
        <f>+'2. Implementation rate'!$I14*VLOOKUP(I$24,Tabelle5[[Emission reduction potential per stove ]:[Value]],2,0)</f>
        <v>55277.052082617171</v>
      </c>
    </row>
    <row r="34" spans="1:9" x14ac:dyDescent="0.2">
      <c r="A34" t="str">
        <f t="shared" si="2"/>
        <v>10-Low scenario</v>
      </c>
      <c r="B34" s="167"/>
      <c r="C34" s="55">
        <v>10</v>
      </c>
      <c r="D34" s="56" t="str">
        <f>'2. Implementation rate'!$D$3</f>
        <v>Low scenario</v>
      </c>
      <c r="E34" s="41">
        <f>+'2. Implementation rate'!$I15*VLOOKUP(E$24,Tabelle5[[Emission reduction potential per stove ]:[Value]],2,0)</f>
        <v>10502.639895697263</v>
      </c>
      <c r="F34" s="42">
        <f>+'2. Implementation rate'!$I15*VLOOKUP(F$24,Tabelle5[[Emission reduction potential per stove ]:[Value]],2,0)</f>
        <v>21005.279791394525</v>
      </c>
      <c r="G34" s="42">
        <f>+'2. Implementation rate'!$I15*VLOOKUP(G$24,Tabelle5[[Emission reduction potential per stove ]:[Value]],2,0)</f>
        <v>31507.919687091788</v>
      </c>
      <c r="H34" s="42">
        <f>+'2. Implementation rate'!$I15*VLOOKUP(H$24,Tabelle5[[Emission reduction potential per stove ]:[Value]],2,0)</f>
        <v>42010.55958278905</v>
      </c>
      <c r="I34" s="43">
        <f>+'2. Implementation rate'!$I15*VLOOKUP(I$24,Tabelle5[[Emission reduction potential per stove ]:[Value]],2,0)</f>
        <v>52513.199478486313</v>
      </c>
    </row>
    <row r="35" spans="1:9" x14ac:dyDescent="0.2">
      <c r="A35" t="str">
        <f t="shared" si="2"/>
        <v>11-Low scenario</v>
      </c>
      <c r="B35" s="167"/>
      <c r="C35" s="55">
        <v>11</v>
      </c>
      <c r="D35" s="56" t="str">
        <f>'2. Implementation rate'!$D$3</f>
        <v>Low scenario</v>
      </c>
      <c r="E35" s="41">
        <f>+'2. Implementation rate'!$I16*VLOOKUP(E$24,Tabelle5[[Emission reduction potential per stove ]:[Value]],2,0)</f>
        <v>9977.5079009123983</v>
      </c>
      <c r="F35" s="42">
        <f>+'2. Implementation rate'!$I16*VLOOKUP(F$24,Tabelle5[[Emission reduction potential per stove ]:[Value]],2,0)</f>
        <v>19955.015801824797</v>
      </c>
      <c r="G35" s="42">
        <f>+'2. Implementation rate'!$I16*VLOOKUP(G$24,Tabelle5[[Emission reduction potential per stove ]:[Value]],2,0)</f>
        <v>29932.523702737195</v>
      </c>
      <c r="H35" s="42">
        <f>+'2. Implementation rate'!$I16*VLOOKUP(H$24,Tabelle5[[Emission reduction potential per stove ]:[Value]],2,0)</f>
        <v>39910.031603649593</v>
      </c>
      <c r="I35" s="43">
        <f>+'2. Implementation rate'!$I16*VLOOKUP(I$24,Tabelle5[[Emission reduction potential per stove ]:[Value]],2,0)</f>
        <v>49887.539504561995</v>
      </c>
    </row>
    <row r="36" spans="1:9" x14ac:dyDescent="0.2">
      <c r="A36" t="str">
        <f t="shared" si="2"/>
        <v>12-Low scenario</v>
      </c>
      <c r="B36" s="167"/>
      <c r="C36" s="55">
        <v>12</v>
      </c>
      <c r="D36" s="56" t="str">
        <f>'2. Implementation rate'!$D$3</f>
        <v>Low scenario</v>
      </c>
      <c r="E36" s="41">
        <f>+'2. Implementation rate'!$I17*VLOOKUP(E$24,Tabelle5[[Emission reduction potential per stove ]:[Value]],2,0)</f>
        <v>9478.632505866779</v>
      </c>
      <c r="F36" s="42">
        <f>+'2. Implementation rate'!$I17*VLOOKUP(F$24,Tabelle5[[Emission reduction potential per stove ]:[Value]],2,0)</f>
        <v>18957.265011733558</v>
      </c>
      <c r="G36" s="42">
        <f>+'2. Implementation rate'!$I17*VLOOKUP(G$24,Tabelle5[[Emission reduction potential per stove ]:[Value]],2,0)</f>
        <v>28435.897517600337</v>
      </c>
      <c r="H36" s="42">
        <f>+'2. Implementation rate'!$I17*VLOOKUP(H$24,Tabelle5[[Emission reduction potential per stove ]:[Value]],2,0)</f>
        <v>37914.530023467116</v>
      </c>
      <c r="I36" s="43">
        <f>+'2. Implementation rate'!$I17*VLOOKUP(I$24,Tabelle5[[Emission reduction potential per stove ]:[Value]],2,0)</f>
        <v>47393.162529333895</v>
      </c>
    </row>
    <row r="37" spans="1:9" x14ac:dyDescent="0.2">
      <c r="A37" t="str">
        <f t="shared" si="2"/>
        <v>13-Low scenario</v>
      </c>
      <c r="B37" s="167"/>
      <c r="C37" s="55">
        <v>13</v>
      </c>
      <c r="D37" s="56" t="str">
        <f>'2. Implementation rate'!$D$3</f>
        <v>Low scenario</v>
      </c>
      <c r="E37" s="41">
        <f>+'2. Implementation rate'!$I18*VLOOKUP(E$24,Tabelle5[[Emission reduction potential per stove ]:[Value]],2,0)</f>
        <v>9004.7008805734386</v>
      </c>
      <c r="F37" s="42">
        <f>+'2. Implementation rate'!$I18*VLOOKUP(F$24,Tabelle5[[Emission reduction potential per stove ]:[Value]],2,0)</f>
        <v>18009.401761146877</v>
      </c>
      <c r="G37" s="42">
        <f>+'2. Implementation rate'!$I18*VLOOKUP(G$24,Tabelle5[[Emission reduction potential per stove ]:[Value]],2,0)</f>
        <v>27014.102641720317</v>
      </c>
      <c r="H37" s="42">
        <f>+'2. Implementation rate'!$I18*VLOOKUP(H$24,Tabelle5[[Emission reduction potential per stove ]:[Value]],2,0)</f>
        <v>36018.803522293754</v>
      </c>
      <c r="I37" s="43">
        <f>+'2. Implementation rate'!$I18*VLOOKUP(I$24,Tabelle5[[Emission reduction potential per stove ]:[Value]],2,0)</f>
        <v>45023.504402867191</v>
      </c>
    </row>
    <row r="38" spans="1:9" x14ac:dyDescent="0.2">
      <c r="A38" t="str">
        <f t="shared" si="2"/>
        <v>14-Low scenario</v>
      </c>
      <c r="B38" s="167"/>
      <c r="C38" s="55">
        <v>14</v>
      </c>
      <c r="D38" s="56" t="str">
        <f>'2. Implementation rate'!$D$3</f>
        <v>Low scenario</v>
      </c>
      <c r="E38" s="41">
        <f>+'2. Implementation rate'!$I19*VLOOKUP(E$24,Tabelle5[[Emission reduction potential per stove ]:[Value]],2,0)</f>
        <v>8554.4658365447667</v>
      </c>
      <c r="F38" s="42">
        <f>+'2. Implementation rate'!$I19*VLOOKUP(F$24,Tabelle5[[Emission reduction potential per stove ]:[Value]],2,0)</f>
        <v>17108.931673089533</v>
      </c>
      <c r="G38" s="42">
        <f>+'2. Implementation rate'!$I19*VLOOKUP(G$24,Tabelle5[[Emission reduction potential per stove ]:[Value]],2,0)</f>
        <v>25663.397509634298</v>
      </c>
      <c r="H38" s="42">
        <f>+'2. Implementation rate'!$I19*VLOOKUP(H$24,Tabelle5[[Emission reduction potential per stove ]:[Value]],2,0)</f>
        <v>34217.863346179067</v>
      </c>
      <c r="I38" s="43">
        <f>+'2. Implementation rate'!$I19*VLOOKUP(I$24,Tabelle5[[Emission reduction potential per stove ]:[Value]],2,0)</f>
        <v>42772.329182723835</v>
      </c>
    </row>
    <row r="39" spans="1:9" x14ac:dyDescent="0.2">
      <c r="A39" t="str">
        <f t="shared" si="2"/>
        <v>15-Low scenario</v>
      </c>
      <c r="B39" s="167"/>
      <c r="C39" s="57">
        <v>15</v>
      </c>
      <c r="D39" s="58" t="str">
        <f>'2. Implementation rate'!$D$3</f>
        <v>Low scenario</v>
      </c>
      <c r="E39" s="44">
        <f>+'2. Implementation rate'!$I20*VLOOKUP(E$24,Tabelle5[[Emission reduction potential per stove ]:[Value]],2,0)</f>
        <v>8126.7425447175283</v>
      </c>
      <c r="F39" s="45">
        <f>+'2. Implementation rate'!$I20*VLOOKUP(F$24,Tabelle5[[Emission reduction potential per stove ]:[Value]],2,0)</f>
        <v>16253.485089435057</v>
      </c>
      <c r="G39" s="45">
        <f>+'2. Implementation rate'!$I20*VLOOKUP(G$24,Tabelle5[[Emission reduction potential per stove ]:[Value]],2,0)</f>
        <v>24380.227634152587</v>
      </c>
      <c r="H39" s="45">
        <f>+'2. Implementation rate'!$I20*VLOOKUP(H$24,Tabelle5[[Emission reduction potential per stove ]:[Value]],2,0)</f>
        <v>32506.970178870113</v>
      </c>
      <c r="I39" s="46">
        <f>+'2. Implementation rate'!$I20*VLOOKUP(I$24,Tabelle5[[Emission reduction potential per stove ]:[Value]],2,0)</f>
        <v>40633.71272358764</v>
      </c>
    </row>
    <row r="40" spans="1:9" ht="14.5" customHeight="1" x14ac:dyDescent="0.2">
      <c r="A40" t="str">
        <f t="shared" si="2"/>
        <v>1-Medium scenario</v>
      </c>
      <c r="B40" s="167" t="str">
        <f>'2. Implementation rate'!K3</f>
        <v>Medium scenario</v>
      </c>
      <c r="C40" s="59">
        <v>1</v>
      </c>
      <c r="D40" s="60" t="str">
        <f>'2. Implementation rate'!$K$3</f>
        <v>Medium scenario</v>
      </c>
      <c r="E40" s="61">
        <f>+'2. Implementation rate'!$P6*VLOOKUP(E$24,Tabelle5[[Emission reduction potential per stove ]:[Value]],2,0)</f>
        <v>5000</v>
      </c>
      <c r="F40" s="62">
        <f>+'2. Implementation rate'!$P6*VLOOKUP(F$24,Tabelle5[[Emission reduction potential per stove ]:[Value]],2,0)</f>
        <v>10000</v>
      </c>
      <c r="G40" s="62">
        <f>+'2. Implementation rate'!$P6*VLOOKUP(G$24,Tabelle5[[Emission reduction potential per stove ]:[Value]],2,0)</f>
        <v>15000</v>
      </c>
      <c r="H40" s="62">
        <f>+'2. Implementation rate'!$P6*VLOOKUP(H$24,Tabelle5[[Emission reduction potential per stove ]:[Value]],2,0)</f>
        <v>20000</v>
      </c>
      <c r="I40" s="63">
        <f>+'2. Implementation rate'!$P6*VLOOKUP(I$24,Tabelle5[[Emission reduction potential per stove ]:[Value]],2,0)</f>
        <v>25000</v>
      </c>
    </row>
    <row r="41" spans="1:9" x14ac:dyDescent="0.2">
      <c r="A41" t="str">
        <f t="shared" si="2"/>
        <v>2-Medium scenario</v>
      </c>
      <c r="B41" s="167"/>
      <c r="C41" s="55">
        <v>2</v>
      </c>
      <c r="D41" s="56" t="str">
        <f>'2. Implementation rate'!$K$3</f>
        <v>Medium scenario</v>
      </c>
      <c r="E41" s="41">
        <f>+'2. Implementation rate'!$P7*VLOOKUP(E$24,Tabelle5[[Emission reduction potential per stove ]:[Value]],2,0)</f>
        <v>9750</v>
      </c>
      <c r="F41" s="42">
        <f>+'2. Implementation rate'!$P7*VLOOKUP(F$24,Tabelle5[[Emission reduction potential per stove ]:[Value]],2,0)</f>
        <v>19500</v>
      </c>
      <c r="G41" s="42">
        <f>+'2. Implementation rate'!$P7*VLOOKUP(G$24,Tabelle5[[Emission reduction potential per stove ]:[Value]],2,0)</f>
        <v>29250</v>
      </c>
      <c r="H41" s="42">
        <f>+'2. Implementation rate'!$P7*VLOOKUP(H$24,Tabelle5[[Emission reduction potential per stove ]:[Value]],2,0)</f>
        <v>39000</v>
      </c>
      <c r="I41" s="43">
        <f>+'2. Implementation rate'!$P7*VLOOKUP(I$24,Tabelle5[[Emission reduction potential per stove ]:[Value]],2,0)</f>
        <v>48750</v>
      </c>
    </row>
    <row r="42" spans="1:9" x14ac:dyDescent="0.2">
      <c r="A42" t="str">
        <f t="shared" si="2"/>
        <v>3-Medium scenario</v>
      </c>
      <c r="B42" s="167"/>
      <c r="C42" s="55">
        <v>3</v>
      </c>
      <c r="D42" s="56" t="str">
        <f>'2. Implementation rate'!$K$3</f>
        <v>Medium scenario</v>
      </c>
      <c r="E42" s="41">
        <f>+'2. Implementation rate'!$P8*VLOOKUP(E$24,Tabelle5[[Emission reduction potential per stove ]:[Value]],2,0)</f>
        <v>14262.5</v>
      </c>
      <c r="F42" s="42">
        <f>+'2. Implementation rate'!$P8*VLOOKUP(F$24,Tabelle5[[Emission reduction potential per stove ]:[Value]],2,0)</f>
        <v>28525</v>
      </c>
      <c r="G42" s="42">
        <f>+'2. Implementation rate'!$P8*VLOOKUP(G$24,Tabelle5[[Emission reduction potential per stove ]:[Value]],2,0)</f>
        <v>42787.5</v>
      </c>
      <c r="H42" s="42">
        <f>+'2. Implementation rate'!$P8*VLOOKUP(H$24,Tabelle5[[Emission reduction potential per stove ]:[Value]],2,0)</f>
        <v>57050</v>
      </c>
      <c r="I42" s="43">
        <f>+'2. Implementation rate'!$P8*VLOOKUP(I$24,Tabelle5[[Emission reduction potential per stove ]:[Value]],2,0)</f>
        <v>71312.5</v>
      </c>
    </row>
    <row r="43" spans="1:9" x14ac:dyDescent="0.2">
      <c r="A43" t="str">
        <f t="shared" si="2"/>
        <v>4-Medium scenario</v>
      </c>
      <c r="B43" s="167"/>
      <c r="C43" s="55">
        <v>4</v>
      </c>
      <c r="D43" s="56" t="str">
        <f>'2. Implementation rate'!$K$3</f>
        <v>Medium scenario</v>
      </c>
      <c r="E43" s="41">
        <f>+'2. Implementation rate'!$P9*VLOOKUP(E$24,Tabelle5[[Emission reduction potential per stove ]:[Value]],2,0)</f>
        <v>18549.375</v>
      </c>
      <c r="F43" s="42">
        <f>+'2. Implementation rate'!$P9*VLOOKUP(F$24,Tabelle5[[Emission reduction potential per stove ]:[Value]],2,0)</f>
        <v>37098.75</v>
      </c>
      <c r="G43" s="42">
        <f>+'2. Implementation rate'!$P9*VLOOKUP(G$24,Tabelle5[[Emission reduction potential per stove ]:[Value]],2,0)</f>
        <v>55648.125</v>
      </c>
      <c r="H43" s="42">
        <f>+'2. Implementation rate'!$P9*VLOOKUP(H$24,Tabelle5[[Emission reduction potential per stove ]:[Value]],2,0)</f>
        <v>74197.5</v>
      </c>
      <c r="I43" s="43">
        <f>+'2. Implementation rate'!$P9*VLOOKUP(I$24,Tabelle5[[Emission reduction potential per stove ]:[Value]],2,0)</f>
        <v>92746.875</v>
      </c>
    </row>
    <row r="44" spans="1:9" x14ac:dyDescent="0.2">
      <c r="A44" t="str">
        <f t="shared" si="2"/>
        <v>5-Medium scenario</v>
      </c>
      <c r="B44" s="167"/>
      <c r="C44" s="55">
        <v>5</v>
      </c>
      <c r="D44" s="56" t="str">
        <f>'2. Implementation rate'!$K$3</f>
        <v>Medium scenario</v>
      </c>
      <c r="E44" s="41">
        <f>+'2. Implementation rate'!$P10*VLOOKUP(E$24,Tabelle5[[Emission reduction potential per stove ]:[Value]],2,0)</f>
        <v>22621.90625</v>
      </c>
      <c r="F44" s="42">
        <f>+'2. Implementation rate'!$P10*VLOOKUP(F$24,Tabelle5[[Emission reduction potential per stove ]:[Value]],2,0)</f>
        <v>45243.8125</v>
      </c>
      <c r="G44" s="42">
        <f>+'2. Implementation rate'!$P10*VLOOKUP(G$24,Tabelle5[[Emission reduction potential per stove ]:[Value]],2,0)</f>
        <v>67865.71875</v>
      </c>
      <c r="H44" s="42">
        <f>+'2. Implementation rate'!$P10*VLOOKUP(H$24,Tabelle5[[Emission reduction potential per stove ]:[Value]],2,0)</f>
        <v>90487.625</v>
      </c>
      <c r="I44" s="43">
        <f>+'2. Implementation rate'!$P10*VLOOKUP(I$24,Tabelle5[[Emission reduction potential per stove ]:[Value]],2,0)</f>
        <v>113109.53125</v>
      </c>
    </row>
    <row r="45" spans="1:9" x14ac:dyDescent="0.2">
      <c r="A45" t="str">
        <f t="shared" si="2"/>
        <v>6-Medium scenario</v>
      </c>
      <c r="B45" s="167"/>
      <c r="C45" s="55">
        <v>6</v>
      </c>
      <c r="D45" s="56" t="str">
        <f>'2. Implementation rate'!$K$3</f>
        <v>Medium scenario</v>
      </c>
      <c r="E45" s="41">
        <f>+'2. Implementation rate'!$P11*VLOOKUP(E$24,Tabelle5[[Emission reduction potential per stove ]:[Value]],2,0)</f>
        <v>21490.810937499999</v>
      </c>
      <c r="F45" s="42">
        <f>+'2. Implementation rate'!$P11*VLOOKUP(F$24,Tabelle5[[Emission reduction potential per stove ]:[Value]],2,0)</f>
        <v>42981.621874999997</v>
      </c>
      <c r="G45" s="42">
        <f>+'2. Implementation rate'!$P11*VLOOKUP(G$24,Tabelle5[[Emission reduction potential per stove ]:[Value]],2,0)</f>
        <v>64472.432812499996</v>
      </c>
      <c r="H45" s="42">
        <f>+'2. Implementation rate'!$P11*VLOOKUP(H$24,Tabelle5[[Emission reduction potential per stove ]:[Value]],2,0)</f>
        <v>85963.243749999994</v>
      </c>
      <c r="I45" s="43">
        <f>+'2. Implementation rate'!$P11*VLOOKUP(I$24,Tabelle5[[Emission reduction potential per stove ]:[Value]],2,0)</f>
        <v>107454.0546875</v>
      </c>
    </row>
    <row r="46" spans="1:9" x14ac:dyDescent="0.2">
      <c r="A46" t="str">
        <f t="shared" si="2"/>
        <v>7-Medium scenario</v>
      </c>
      <c r="B46" s="167"/>
      <c r="C46" s="55">
        <v>7</v>
      </c>
      <c r="D46" s="56" t="str">
        <f>'2. Implementation rate'!$K$3</f>
        <v>Medium scenario</v>
      </c>
      <c r="E46" s="41">
        <f>+'2. Implementation rate'!$P12*VLOOKUP(E$24,Tabelle5[[Emission reduction potential per stove ]:[Value]],2,0)</f>
        <v>20416.270390624999</v>
      </c>
      <c r="F46" s="42">
        <f>+'2. Implementation rate'!$P12*VLOOKUP(F$24,Tabelle5[[Emission reduction potential per stove ]:[Value]],2,0)</f>
        <v>40832.540781249998</v>
      </c>
      <c r="G46" s="42">
        <f>+'2. Implementation rate'!$P12*VLOOKUP(G$24,Tabelle5[[Emission reduction potential per stove ]:[Value]],2,0)</f>
        <v>61248.811171875001</v>
      </c>
      <c r="H46" s="42">
        <f>+'2. Implementation rate'!$P12*VLOOKUP(H$24,Tabelle5[[Emission reduction potential per stove ]:[Value]],2,0)</f>
        <v>81665.081562499996</v>
      </c>
      <c r="I46" s="43">
        <f>+'2. Implementation rate'!$P12*VLOOKUP(I$24,Tabelle5[[Emission reduction potential per stove ]:[Value]],2,0)</f>
        <v>102081.35195312499</v>
      </c>
    </row>
    <row r="47" spans="1:9" x14ac:dyDescent="0.2">
      <c r="A47" t="str">
        <f t="shared" si="2"/>
        <v>8-Medium scenario</v>
      </c>
      <c r="B47" s="167"/>
      <c r="C47" s="55">
        <v>8</v>
      </c>
      <c r="D47" s="56" t="str">
        <f>'2. Implementation rate'!$K$3</f>
        <v>Medium scenario</v>
      </c>
      <c r="E47" s="41">
        <f>+'2. Implementation rate'!$P13*VLOOKUP(E$24,Tabelle5[[Emission reduction potential per stove ]:[Value]],2,0)</f>
        <v>19395.456871093749</v>
      </c>
      <c r="F47" s="42">
        <f>+'2. Implementation rate'!$P13*VLOOKUP(F$24,Tabelle5[[Emission reduction potential per stove ]:[Value]],2,0)</f>
        <v>38790.913742187498</v>
      </c>
      <c r="G47" s="42">
        <f>+'2. Implementation rate'!$P13*VLOOKUP(G$24,Tabelle5[[Emission reduction potential per stove ]:[Value]],2,0)</f>
        <v>58186.370613281251</v>
      </c>
      <c r="H47" s="42">
        <f>+'2. Implementation rate'!$P13*VLOOKUP(H$24,Tabelle5[[Emission reduction potential per stove ]:[Value]],2,0)</f>
        <v>77581.827484374997</v>
      </c>
      <c r="I47" s="43">
        <f>+'2. Implementation rate'!$P13*VLOOKUP(I$24,Tabelle5[[Emission reduction potential per stove ]:[Value]],2,0)</f>
        <v>96977.284355468742</v>
      </c>
    </row>
    <row r="48" spans="1:9" x14ac:dyDescent="0.2">
      <c r="A48" t="str">
        <f t="shared" si="2"/>
        <v>9-Medium scenario</v>
      </c>
      <c r="B48" s="167"/>
      <c r="C48" s="55">
        <v>9</v>
      </c>
      <c r="D48" s="56" t="str">
        <f>'2. Implementation rate'!$K$3</f>
        <v>Medium scenario</v>
      </c>
      <c r="E48" s="41">
        <f>+'2. Implementation rate'!$P14*VLOOKUP(E$24,Tabelle5[[Emission reduction potential per stove ]:[Value]],2,0)</f>
        <v>18425.684027539064</v>
      </c>
      <c r="F48" s="42">
        <f>+'2. Implementation rate'!$P14*VLOOKUP(F$24,Tabelle5[[Emission reduction potential per stove ]:[Value]],2,0)</f>
        <v>36851.368055078128</v>
      </c>
      <c r="G48" s="42">
        <f>+'2. Implementation rate'!$P14*VLOOKUP(G$24,Tabelle5[[Emission reduction potential per stove ]:[Value]],2,0)</f>
        <v>55277.052082617192</v>
      </c>
      <c r="H48" s="42">
        <f>+'2. Implementation rate'!$P14*VLOOKUP(H$24,Tabelle5[[Emission reduction potential per stove ]:[Value]],2,0)</f>
        <v>73702.736110156256</v>
      </c>
      <c r="I48" s="43">
        <f>+'2. Implementation rate'!$P14*VLOOKUP(I$24,Tabelle5[[Emission reduction potential per stove ]:[Value]],2,0)</f>
        <v>92128.420137695328</v>
      </c>
    </row>
    <row r="49" spans="1:9" x14ac:dyDescent="0.2">
      <c r="A49" t="str">
        <f t="shared" si="2"/>
        <v>10-Medium scenario</v>
      </c>
      <c r="B49" s="167"/>
      <c r="C49" s="55">
        <v>10</v>
      </c>
      <c r="D49" s="56" t="str">
        <f>'2. Implementation rate'!$K$3</f>
        <v>Medium scenario</v>
      </c>
      <c r="E49" s="41">
        <f>+'2. Implementation rate'!$P15*VLOOKUP(E$24,Tabelle5[[Emission reduction potential per stove ]:[Value]],2,0)</f>
        <v>17504.399826162105</v>
      </c>
      <c r="F49" s="42">
        <f>+'2. Implementation rate'!$P15*VLOOKUP(F$24,Tabelle5[[Emission reduction potential per stove ]:[Value]],2,0)</f>
        <v>35008.799652324211</v>
      </c>
      <c r="G49" s="42">
        <f>+'2. Implementation rate'!$P15*VLOOKUP(G$24,Tabelle5[[Emission reduction potential per stove ]:[Value]],2,0)</f>
        <v>52513.19947848632</v>
      </c>
      <c r="H49" s="42">
        <f>+'2. Implementation rate'!$P15*VLOOKUP(H$24,Tabelle5[[Emission reduction potential per stove ]:[Value]],2,0)</f>
        <v>70017.599304648422</v>
      </c>
      <c r="I49" s="43">
        <f>+'2. Implementation rate'!$P15*VLOOKUP(I$24,Tabelle5[[Emission reduction potential per stove ]:[Value]],2,0)</f>
        <v>87521.999130810524</v>
      </c>
    </row>
    <row r="50" spans="1:9" x14ac:dyDescent="0.2">
      <c r="A50" t="str">
        <f t="shared" si="2"/>
        <v>11-Medium scenario</v>
      </c>
      <c r="B50" s="167"/>
      <c r="C50" s="55">
        <v>11</v>
      </c>
      <c r="D50" s="56" t="str">
        <f>'2. Implementation rate'!$K$3</f>
        <v>Medium scenario</v>
      </c>
      <c r="E50" s="41">
        <f>+'2. Implementation rate'!$P16*VLOOKUP(E$24,Tabelle5[[Emission reduction potential per stove ]:[Value]],2,0)</f>
        <v>16629.179834854</v>
      </c>
      <c r="F50" s="42">
        <f>+'2. Implementation rate'!$P16*VLOOKUP(F$24,Tabelle5[[Emission reduction potential per stove ]:[Value]],2,0)</f>
        <v>33258.359669707999</v>
      </c>
      <c r="G50" s="42">
        <f>+'2. Implementation rate'!$P16*VLOOKUP(G$24,Tabelle5[[Emission reduction potential per stove ]:[Value]],2,0)</f>
        <v>49887.539504561995</v>
      </c>
      <c r="H50" s="42">
        <f>+'2. Implementation rate'!$P16*VLOOKUP(H$24,Tabelle5[[Emission reduction potential per stove ]:[Value]],2,0)</f>
        <v>66516.719339415999</v>
      </c>
      <c r="I50" s="43">
        <f>+'2. Implementation rate'!$P16*VLOOKUP(I$24,Tabelle5[[Emission reduction potential per stove ]:[Value]],2,0)</f>
        <v>83145.899174270002</v>
      </c>
    </row>
    <row r="51" spans="1:9" x14ac:dyDescent="0.2">
      <c r="A51" t="str">
        <f t="shared" si="2"/>
        <v>12-Medium scenario</v>
      </c>
      <c r="B51" s="167"/>
      <c r="C51" s="55">
        <v>12</v>
      </c>
      <c r="D51" s="56" t="str">
        <f>'2. Implementation rate'!$K$3</f>
        <v>Medium scenario</v>
      </c>
      <c r="E51" s="41">
        <f>+'2. Implementation rate'!$P17*VLOOKUP(E$24,Tabelle5[[Emission reduction potential per stove ]:[Value]],2,0)</f>
        <v>15797.720843111299</v>
      </c>
      <c r="F51" s="42">
        <f>+'2. Implementation rate'!$P17*VLOOKUP(F$24,Tabelle5[[Emission reduction potential per stove ]:[Value]],2,0)</f>
        <v>31595.441686222599</v>
      </c>
      <c r="G51" s="42">
        <f>+'2. Implementation rate'!$P17*VLOOKUP(G$24,Tabelle5[[Emission reduction potential per stove ]:[Value]],2,0)</f>
        <v>47393.162529333902</v>
      </c>
      <c r="H51" s="42">
        <f>+'2. Implementation rate'!$P17*VLOOKUP(H$24,Tabelle5[[Emission reduction potential per stove ]:[Value]],2,0)</f>
        <v>63190.883372445198</v>
      </c>
      <c r="I51" s="43">
        <f>+'2. Implementation rate'!$P17*VLOOKUP(I$24,Tabelle5[[Emission reduction potential per stove ]:[Value]],2,0)</f>
        <v>78988.604215556494</v>
      </c>
    </row>
    <row r="52" spans="1:9" x14ac:dyDescent="0.2">
      <c r="A52" t="str">
        <f t="shared" si="2"/>
        <v>13-Medium scenario</v>
      </c>
      <c r="B52" s="167"/>
      <c r="C52" s="55">
        <v>13</v>
      </c>
      <c r="D52" s="56" t="str">
        <f>'2. Implementation rate'!$K$3</f>
        <v>Medium scenario</v>
      </c>
      <c r="E52" s="41">
        <f>+'2. Implementation rate'!$P18*VLOOKUP(E$24,Tabelle5[[Emission reduction potential per stove ]:[Value]],2,0)</f>
        <v>15007.834800955734</v>
      </c>
      <c r="F52" s="42">
        <f>+'2. Implementation rate'!$P18*VLOOKUP(F$24,Tabelle5[[Emission reduction potential per stove ]:[Value]],2,0)</f>
        <v>30015.669601911468</v>
      </c>
      <c r="G52" s="42">
        <f>+'2. Implementation rate'!$P18*VLOOKUP(G$24,Tabelle5[[Emission reduction potential per stove ]:[Value]],2,0)</f>
        <v>45023.504402867198</v>
      </c>
      <c r="H52" s="42">
        <f>+'2. Implementation rate'!$P18*VLOOKUP(H$24,Tabelle5[[Emission reduction potential per stove ]:[Value]],2,0)</f>
        <v>60031.339203822936</v>
      </c>
      <c r="I52" s="43">
        <f>+'2. Implementation rate'!$P18*VLOOKUP(I$24,Tabelle5[[Emission reduction potential per stove ]:[Value]],2,0)</f>
        <v>75039.174004778673</v>
      </c>
    </row>
    <row r="53" spans="1:9" x14ac:dyDescent="0.2">
      <c r="A53" t="str">
        <f t="shared" si="2"/>
        <v>14-Medium scenario</v>
      </c>
      <c r="B53" s="167"/>
      <c r="C53" s="55">
        <v>14</v>
      </c>
      <c r="D53" s="56" t="str">
        <f>'2. Implementation rate'!$K$3</f>
        <v>Medium scenario</v>
      </c>
      <c r="E53" s="41">
        <f>+'2. Implementation rate'!$P19*VLOOKUP(E$24,Tabelle5[[Emission reduction potential per stove ]:[Value]],2,0)</f>
        <v>14257.443060907946</v>
      </c>
      <c r="F53" s="42">
        <f>+'2. Implementation rate'!$P19*VLOOKUP(F$24,Tabelle5[[Emission reduction potential per stove ]:[Value]],2,0)</f>
        <v>28514.886121815893</v>
      </c>
      <c r="G53" s="42">
        <f>+'2. Implementation rate'!$P19*VLOOKUP(G$24,Tabelle5[[Emission reduction potential per stove ]:[Value]],2,0)</f>
        <v>42772.329182723843</v>
      </c>
      <c r="H53" s="42">
        <f>+'2. Implementation rate'!$P19*VLOOKUP(H$24,Tabelle5[[Emission reduction potential per stove ]:[Value]],2,0)</f>
        <v>57029.772243631785</v>
      </c>
      <c r="I53" s="43">
        <f>+'2. Implementation rate'!$P19*VLOOKUP(I$24,Tabelle5[[Emission reduction potential per stove ]:[Value]],2,0)</f>
        <v>71287.215304539728</v>
      </c>
    </row>
    <row r="54" spans="1:9" x14ac:dyDescent="0.2">
      <c r="A54" t="str">
        <f t="shared" si="2"/>
        <v>15-Medium scenario</v>
      </c>
      <c r="B54" s="167"/>
      <c r="C54" s="57">
        <v>15</v>
      </c>
      <c r="D54" s="58" t="str">
        <f>'2. Implementation rate'!$K$3</f>
        <v>Medium scenario</v>
      </c>
      <c r="E54" s="44">
        <f>+'2. Implementation rate'!$P20*VLOOKUP(E$24,Tabelle5[[Emission reduction potential per stove ]:[Value]],2,0)</f>
        <v>13544.570907862548</v>
      </c>
      <c r="F54" s="45">
        <f>+'2. Implementation rate'!$P20*VLOOKUP(F$24,Tabelle5[[Emission reduction potential per stove ]:[Value]],2,0)</f>
        <v>27089.141815725096</v>
      </c>
      <c r="G54" s="45">
        <f>+'2. Implementation rate'!$P20*VLOOKUP(G$24,Tabelle5[[Emission reduction potential per stove ]:[Value]],2,0)</f>
        <v>40633.71272358764</v>
      </c>
      <c r="H54" s="45">
        <f>+'2. Implementation rate'!$P20*VLOOKUP(H$24,Tabelle5[[Emission reduction potential per stove ]:[Value]],2,0)</f>
        <v>54178.283631450191</v>
      </c>
      <c r="I54" s="46">
        <f>+'2. Implementation rate'!$P20*VLOOKUP(I$24,Tabelle5[[Emission reduction potential per stove ]:[Value]],2,0)</f>
        <v>67722.854539312742</v>
      </c>
    </row>
    <row r="55" spans="1:9" x14ac:dyDescent="0.2">
      <c r="A55" t="str">
        <f t="shared" si="2"/>
        <v>1-High scenario</v>
      </c>
      <c r="B55" s="167" t="str">
        <f>'2. Implementation rate'!R3</f>
        <v>High scenario</v>
      </c>
      <c r="C55" s="59">
        <v>1</v>
      </c>
      <c r="D55" s="60" t="str">
        <f>'2. Implementation rate'!$R$3</f>
        <v>High scenario</v>
      </c>
      <c r="E55" s="61">
        <f>+'2. Implementation rate'!$W6*VLOOKUP(E$24,Tabelle5[[Emission reduction potential per stove ]:[Value]],2,0)</f>
        <v>10000</v>
      </c>
      <c r="F55" s="62">
        <f>+'2. Implementation rate'!$P6*VLOOKUP(F$24,Tabelle5[[Emission reduction potential per stove ]:[Value]],2,0)</f>
        <v>10000</v>
      </c>
      <c r="G55" s="62">
        <f>+'2. Implementation rate'!$P6*VLOOKUP(G$24,Tabelle5[[Emission reduction potential per stove ]:[Value]],2,0)</f>
        <v>15000</v>
      </c>
      <c r="H55" s="62">
        <f>+'2. Implementation rate'!$P6*VLOOKUP(H$24,Tabelle5[[Emission reduction potential per stove ]:[Value]],2,0)</f>
        <v>20000</v>
      </c>
      <c r="I55" s="63">
        <f>+'2. Implementation rate'!$P6*VLOOKUP(I$24,Tabelle5[[Emission reduction potential per stove ]:[Value]],2,0)</f>
        <v>25000</v>
      </c>
    </row>
    <row r="56" spans="1:9" x14ac:dyDescent="0.2">
      <c r="A56" t="str">
        <f t="shared" si="2"/>
        <v>2-High scenario</v>
      </c>
      <c r="B56" s="167"/>
      <c r="C56" s="55">
        <v>2</v>
      </c>
      <c r="D56" s="56" t="str">
        <f>'2. Implementation rate'!$R$3</f>
        <v>High scenario</v>
      </c>
      <c r="E56" s="41">
        <f>+'2. Implementation rate'!$W7*VLOOKUP(E$24,Tabelle5[[Emission reduction potential per stove ]:[Value]],2,0)</f>
        <v>19500</v>
      </c>
      <c r="F56" s="42">
        <f>+'2. Implementation rate'!$P7*VLOOKUP(F$24,Tabelle5[[Emission reduction potential per stove ]:[Value]],2,0)</f>
        <v>19500</v>
      </c>
      <c r="G56" s="42">
        <f>+'2. Implementation rate'!$P7*VLOOKUP(G$24,Tabelle5[[Emission reduction potential per stove ]:[Value]],2,0)</f>
        <v>29250</v>
      </c>
      <c r="H56" s="42">
        <f>+'2. Implementation rate'!$P7*VLOOKUP(H$24,Tabelle5[[Emission reduction potential per stove ]:[Value]],2,0)</f>
        <v>39000</v>
      </c>
      <c r="I56" s="43">
        <f>+'2. Implementation rate'!$P7*VLOOKUP(I$24,Tabelle5[[Emission reduction potential per stove ]:[Value]],2,0)</f>
        <v>48750</v>
      </c>
    </row>
    <row r="57" spans="1:9" x14ac:dyDescent="0.2">
      <c r="A57" t="str">
        <f t="shared" si="2"/>
        <v>3-High scenario</v>
      </c>
      <c r="B57" s="167"/>
      <c r="C57" s="55">
        <v>3</v>
      </c>
      <c r="D57" s="56" t="str">
        <f>'2. Implementation rate'!$R$3</f>
        <v>High scenario</v>
      </c>
      <c r="E57" s="41">
        <f>+'2. Implementation rate'!$W8*VLOOKUP(E$24,Tabelle5[[Emission reduction potential per stove ]:[Value]],2,0)</f>
        <v>28525</v>
      </c>
      <c r="F57" s="42">
        <f>+'2. Implementation rate'!$P8*VLOOKUP(F$24,Tabelle5[[Emission reduction potential per stove ]:[Value]],2,0)</f>
        <v>28525</v>
      </c>
      <c r="G57" s="42">
        <f>+'2. Implementation rate'!$P8*VLOOKUP(G$24,Tabelle5[[Emission reduction potential per stove ]:[Value]],2,0)</f>
        <v>42787.5</v>
      </c>
      <c r="H57" s="42">
        <f>+'2. Implementation rate'!$P8*VLOOKUP(H$24,Tabelle5[[Emission reduction potential per stove ]:[Value]],2,0)</f>
        <v>57050</v>
      </c>
      <c r="I57" s="43">
        <f>+'2. Implementation rate'!$P8*VLOOKUP(I$24,Tabelle5[[Emission reduction potential per stove ]:[Value]],2,0)</f>
        <v>71312.5</v>
      </c>
    </row>
    <row r="58" spans="1:9" x14ac:dyDescent="0.2">
      <c r="A58" t="str">
        <f t="shared" si="2"/>
        <v>4-High scenario</v>
      </c>
      <c r="B58" s="167"/>
      <c r="C58" s="55">
        <v>4</v>
      </c>
      <c r="D58" s="56" t="str">
        <f>'2. Implementation rate'!$R$3</f>
        <v>High scenario</v>
      </c>
      <c r="E58" s="41">
        <f>+'2. Implementation rate'!$W9*VLOOKUP(E$24,Tabelle5[[Emission reduction potential per stove ]:[Value]],2,0)</f>
        <v>37098.75</v>
      </c>
      <c r="F58" s="42">
        <f>+'2. Implementation rate'!$P9*VLOOKUP(F$24,Tabelle5[[Emission reduction potential per stove ]:[Value]],2,0)</f>
        <v>37098.75</v>
      </c>
      <c r="G58" s="42">
        <f>+'2. Implementation rate'!$P9*VLOOKUP(G$24,Tabelle5[[Emission reduction potential per stove ]:[Value]],2,0)</f>
        <v>55648.125</v>
      </c>
      <c r="H58" s="42">
        <f>+'2. Implementation rate'!$P9*VLOOKUP(H$24,Tabelle5[[Emission reduction potential per stove ]:[Value]],2,0)</f>
        <v>74197.5</v>
      </c>
      <c r="I58" s="43">
        <f>+'2. Implementation rate'!$P9*VLOOKUP(I$24,Tabelle5[[Emission reduction potential per stove ]:[Value]],2,0)</f>
        <v>92746.875</v>
      </c>
    </row>
    <row r="59" spans="1:9" x14ac:dyDescent="0.2">
      <c r="A59" t="str">
        <f t="shared" si="2"/>
        <v>5-High scenario</v>
      </c>
      <c r="B59" s="167"/>
      <c r="C59" s="55">
        <v>5</v>
      </c>
      <c r="D59" s="56" t="str">
        <f>'2. Implementation rate'!$R$3</f>
        <v>High scenario</v>
      </c>
      <c r="E59" s="41">
        <f>+'2. Implementation rate'!$W10*VLOOKUP(E$24,Tabelle5[[Emission reduction potential per stove ]:[Value]],2,0)</f>
        <v>45243.8125</v>
      </c>
      <c r="F59" s="42">
        <f>+'2. Implementation rate'!$P10*VLOOKUP(F$24,Tabelle5[[Emission reduction potential per stove ]:[Value]],2,0)</f>
        <v>45243.8125</v>
      </c>
      <c r="G59" s="42">
        <f>+'2. Implementation rate'!$P10*VLOOKUP(G$24,Tabelle5[[Emission reduction potential per stove ]:[Value]],2,0)</f>
        <v>67865.71875</v>
      </c>
      <c r="H59" s="42">
        <f>+'2. Implementation rate'!$P10*VLOOKUP(H$24,Tabelle5[[Emission reduction potential per stove ]:[Value]],2,0)</f>
        <v>90487.625</v>
      </c>
      <c r="I59" s="43">
        <f>+'2. Implementation rate'!$P10*VLOOKUP(I$24,Tabelle5[[Emission reduction potential per stove ]:[Value]],2,0)</f>
        <v>113109.53125</v>
      </c>
    </row>
    <row r="60" spans="1:9" x14ac:dyDescent="0.2">
      <c r="A60" t="str">
        <f t="shared" si="2"/>
        <v>6-High scenario</v>
      </c>
      <c r="B60" s="167"/>
      <c r="C60" s="55">
        <v>6</v>
      </c>
      <c r="D60" s="56" t="str">
        <f>'2. Implementation rate'!$R$3</f>
        <v>High scenario</v>
      </c>
      <c r="E60" s="41">
        <f>+'2. Implementation rate'!$W11*VLOOKUP(E$24,Tabelle5[[Emission reduction potential per stove ]:[Value]],2,0)</f>
        <v>42981.621874999997</v>
      </c>
      <c r="F60" s="42">
        <f>+'2. Implementation rate'!$P11*VLOOKUP(F$24,Tabelle5[[Emission reduction potential per stove ]:[Value]],2,0)</f>
        <v>42981.621874999997</v>
      </c>
      <c r="G60" s="42">
        <f>+'2. Implementation rate'!$P11*VLOOKUP(G$24,Tabelle5[[Emission reduction potential per stove ]:[Value]],2,0)</f>
        <v>64472.432812499996</v>
      </c>
      <c r="H60" s="42">
        <f>+'2. Implementation rate'!$P11*VLOOKUP(H$24,Tabelle5[[Emission reduction potential per stove ]:[Value]],2,0)</f>
        <v>85963.243749999994</v>
      </c>
      <c r="I60" s="43">
        <f>+'2. Implementation rate'!$P11*VLOOKUP(I$24,Tabelle5[[Emission reduction potential per stove ]:[Value]],2,0)</f>
        <v>107454.0546875</v>
      </c>
    </row>
    <row r="61" spans="1:9" x14ac:dyDescent="0.2">
      <c r="A61" t="str">
        <f t="shared" si="2"/>
        <v>7-High scenario</v>
      </c>
      <c r="B61" s="167"/>
      <c r="C61" s="55">
        <v>7</v>
      </c>
      <c r="D61" s="56" t="str">
        <f>'2. Implementation rate'!$R$3</f>
        <v>High scenario</v>
      </c>
      <c r="E61" s="41">
        <f>+'2. Implementation rate'!$W12*VLOOKUP(E$24,Tabelle5[[Emission reduction potential per stove ]:[Value]],2,0)</f>
        <v>40832.540781249998</v>
      </c>
      <c r="F61" s="42">
        <f>+'2. Implementation rate'!$P12*VLOOKUP(F$24,Tabelle5[[Emission reduction potential per stove ]:[Value]],2,0)</f>
        <v>40832.540781249998</v>
      </c>
      <c r="G61" s="42">
        <f>+'2. Implementation rate'!$P12*VLOOKUP(G$24,Tabelle5[[Emission reduction potential per stove ]:[Value]],2,0)</f>
        <v>61248.811171875001</v>
      </c>
      <c r="H61" s="42">
        <f>+'2. Implementation rate'!$P12*VLOOKUP(H$24,Tabelle5[[Emission reduction potential per stove ]:[Value]],2,0)</f>
        <v>81665.081562499996</v>
      </c>
      <c r="I61" s="43">
        <f>+'2. Implementation rate'!$P12*VLOOKUP(I$24,Tabelle5[[Emission reduction potential per stove ]:[Value]],2,0)</f>
        <v>102081.35195312499</v>
      </c>
    </row>
    <row r="62" spans="1:9" x14ac:dyDescent="0.2">
      <c r="A62" t="str">
        <f t="shared" si="2"/>
        <v>8-High scenario</v>
      </c>
      <c r="B62" s="167"/>
      <c r="C62" s="55">
        <v>8</v>
      </c>
      <c r="D62" s="56" t="str">
        <f>'2. Implementation rate'!$R$3</f>
        <v>High scenario</v>
      </c>
      <c r="E62" s="41">
        <f>+'2. Implementation rate'!$W13*VLOOKUP(E$24,Tabelle5[[Emission reduction potential per stove ]:[Value]],2,0)</f>
        <v>38790.913742187498</v>
      </c>
      <c r="F62" s="42">
        <f>+'2. Implementation rate'!$P13*VLOOKUP(F$24,Tabelle5[[Emission reduction potential per stove ]:[Value]],2,0)</f>
        <v>38790.913742187498</v>
      </c>
      <c r="G62" s="42">
        <f>+'2. Implementation rate'!$P13*VLOOKUP(G$24,Tabelle5[[Emission reduction potential per stove ]:[Value]],2,0)</f>
        <v>58186.370613281251</v>
      </c>
      <c r="H62" s="42">
        <f>+'2. Implementation rate'!$P13*VLOOKUP(H$24,Tabelle5[[Emission reduction potential per stove ]:[Value]],2,0)</f>
        <v>77581.827484374997</v>
      </c>
      <c r="I62" s="43">
        <f>+'2. Implementation rate'!$P13*VLOOKUP(I$24,Tabelle5[[Emission reduction potential per stove ]:[Value]],2,0)</f>
        <v>96977.284355468742</v>
      </c>
    </row>
    <row r="63" spans="1:9" x14ac:dyDescent="0.2">
      <c r="A63" t="str">
        <f t="shared" si="2"/>
        <v>9-High scenario</v>
      </c>
      <c r="B63" s="167"/>
      <c r="C63" s="55">
        <v>9</v>
      </c>
      <c r="D63" s="56" t="str">
        <f>'2. Implementation rate'!$R$3</f>
        <v>High scenario</v>
      </c>
      <c r="E63" s="41">
        <f>+'2. Implementation rate'!$W14*VLOOKUP(E$24,Tabelle5[[Emission reduction potential per stove ]:[Value]],2,0)</f>
        <v>36851.368055078128</v>
      </c>
      <c r="F63" s="42">
        <f>+'2. Implementation rate'!$P14*VLOOKUP(F$24,Tabelle5[[Emission reduction potential per stove ]:[Value]],2,0)</f>
        <v>36851.368055078128</v>
      </c>
      <c r="G63" s="42">
        <f>+'2. Implementation rate'!$P14*VLOOKUP(G$24,Tabelle5[[Emission reduction potential per stove ]:[Value]],2,0)</f>
        <v>55277.052082617192</v>
      </c>
      <c r="H63" s="42">
        <f>+'2. Implementation rate'!$P14*VLOOKUP(H$24,Tabelle5[[Emission reduction potential per stove ]:[Value]],2,0)</f>
        <v>73702.736110156256</v>
      </c>
      <c r="I63" s="43">
        <f>+'2. Implementation rate'!$P14*VLOOKUP(I$24,Tabelle5[[Emission reduction potential per stove ]:[Value]],2,0)</f>
        <v>92128.420137695328</v>
      </c>
    </row>
    <row r="64" spans="1:9" x14ac:dyDescent="0.2">
      <c r="A64" t="str">
        <f t="shared" si="2"/>
        <v>10-High scenario</v>
      </c>
      <c r="B64" s="167"/>
      <c r="C64" s="55">
        <v>10</v>
      </c>
      <c r="D64" s="56" t="str">
        <f>'2. Implementation rate'!$R$3</f>
        <v>High scenario</v>
      </c>
      <c r="E64" s="41">
        <f>+'2. Implementation rate'!$W15*VLOOKUP(E$24,Tabelle5[[Emission reduction potential per stove ]:[Value]],2,0)</f>
        <v>35008.799652324211</v>
      </c>
      <c r="F64" s="42">
        <f>+'2. Implementation rate'!$P15*VLOOKUP(F$24,Tabelle5[[Emission reduction potential per stove ]:[Value]],2,0)</f>
        <v>35008.799652324211</v>
      </c>
      <c r="G64" s="42">
        <f>+'2. Implementation rate'!$P15*VLOOKUP(G$24,Tabelle5[[Emission reduction potential per stove ]:[Value]],2,0)</f>
        <v>52513.19947848632</v>
      </c>
      <c r="H64" s="42">
        <f>+'2. Implementation rate'!$P15*VLOOKUP(H$24,Tabelle5[[Emission reduction potential per stove ]:[Value]],2,0)</f>
        <v>70017.599304648422</v>
      </c>
      <c r="I64" s="43">
        <f>+'2. Implementation rate'!$P15*VLOOKUP(I$24,Tabelle5[[Emission reduction potential per stove ]:[Value]],2,0)</f>
        <v>87521.999130810524</v>
      </c>
    </row>
    <row r="65" spans="1:9" x14ac:dyDescent="0.2">
      <c r="A65" t="str">
        <f t="shared" si="2"/>
        <v>11-High scenario</v>
      </c>
      <c r="B65" s="167"/>
      <c r="C65" s="55">
        <v>11</v>
      </c>
      <c r="D65" s="56" t="str">
        <f>'2. Implementation rate'!$R$3</f>
        <v>High scenario</v>
      </c>
      <c r="E65" s="41">
        <f>+'2. Implementation rate'!$W16*VLOOKUP(E$24,Tabelle5[[Emission reduction potential per stove ]:[Value]],2,0)</f>
        <v>33258.359669707999</v>
      </c>
      <c r="F65" s="42">
        <f>+'2. Implementation rate'!$P16*VLOOKUP(F$24,Tabelle5[[Emission reduction potential per stove ]:[Value]],2,0)</f>
        <v>33258.359669707999</v>
      </c>
      <c r="G65" s="42">
        <f>+'2. Implementation rate'!$P16*VLOOKUP(G$24,Tabelle5[[Emission reduction potential per stove ]:[Value]],2,0)</f>
        <v>49887.539504561995</v>
      </c>
      <c r="H65" s="42">
        <f>+'2. Implementation rate'!$P16*VLOOKUP(H$24,Tabelle5[[Emission reduction potential per stove ]:[Value]],2,0)</f>
        <v>66516.719339415999</v>
      </c>
      <c r="I65" s="43">
        <f>+'2. Implementation rate'!$P16*VLOOKUP(I$24,Tabelle5[[Emission reduction potential per stove ]:[Value]],2,0)</f>
        <v>83145.899174270002</v>
      </c>
    </row>
    <row r="66" spans="1:9" x14ac:dyDescent="0.2">
      <c r="A66" t="str">
        <f t="shared" si="2"/>
        <v>12-High scenario</v>
      </c>
      <c r="B66" s="167"/>
      <c r="C66" s="55">
        <v>12</v>
      </c>
      <c r="D66" s="56" t="str">
        <f>'2. Implementation rate'!$R$3</f>
        <v>High scenario</v>
      </c>
      <c r="E66" s="41">
        <f>+'2. Implementation rate'!$W17*VLOOKUP(E$24,Tabelle5[[Emission reduction potential per stove ]:[Value]],2,0)</f>
        <v>31595.441686222599</v>
      </c>
      <c r="F66" s="42">
        <f>+'2. Implementation rate'!$P17*VLOOKUP(F$24,Tabelle5[[Emission reduction potential per stove ]:[Value]],2,0)</f>
        <v>31595.441686222599</v>
      </c>
      <c r="G66" s="42">
        <f>+'2. Implementation rate'!$P17*VLOOKUP(G$24,Tabelle5[[Emission reduction potential per stove ]:[Value]],2,0)</f>
        <v>47393.162529333902</v>
      </c>
      <c r="H66" s="42">
        <f>+'2. Implementation rate'!$P17*VLOOKUP(H$24,Tabelle5[[Emission reduction potential per stove ]:[Value]],2,0)</f>
        <v>63190.883372445198</v>
      </c>
      <c r="I66" s="43">
        <f>+'2. Implementation rate'!$P17*VLOOKUP(I$24,Tabelle5[[Emission reduction potential per stove ]:[Value]],2,0)</f>
        <v>78988.604215556494</v>
      </c>
    </row>
    <row r="67" spans="1:9" x14ac:dyDescent="0.2">
      <c r="A67" t="str">
        <f t="shared" si="2"/>
        <v>13-High scenario</v>
      </c>
      <c r="B67" s="167"/>
      <c r="C67" s="55">
        <v>13</v>
      </c>
      <c r="D67" s="56" t="str">
        <f>'2. Implementation rate'!$R$3</f>
        <v>High scenario</v>
      </c>
      <c r="E67" s="41">
        <f>+'2. Implementation rate'!$W18*VLOOKUP(E$24,Tabelle5[[Emission reduction potential per stove ]:[Value]],2,0)</f>
        <v>30015.669601911468</v>
      </c>
      <c r="F67" s="42">
        <f>+'2. Implementation rate'!$P18*VLOOKUP(F$24,Tabelle5[[Emission reduction potential per stove ]:[Value]],2,0)</f>
        <v>30015.669601911468</v>
      </c>
      <c r="G67" s="42">
        <f>+'2. Implementation rate'!$P18*VLOOKUP(G$24,Tabelle5[[Emission reduction potential per stove ]:[Value]],2,0)</f>
        <v>45023.504402867198</v>
      </c>
      <c r="H67" s="42">
        <f>+'2. Implementation rate'!$P18*VLOOKUP(H$24,Tabelle5[[Emission reduction potential per stove ]:[Value]],2,0)</f>
        <v>60031.339203822936</v>
      </c>
      <c r="I67" s="43">
        <f>+'2. Implementation rate'!$P18*VLOOKUP(I$24,Tabelle5[[Emission reduction potential per stove ]:[Value]],2,0)</f>
        <v>75039.174004778673</v>
      </c>
    </row>
    <row r="68" spans="1:9" x14ac:dyDescent="0.2">
      <c r="A68" t="str">
        <f t="shared" si="2"/>
        <v>14-High scenario</v>
      </c>
      <c r="B68" s="167"/>
      <c r="C68" s="55">
        <v>14</v>
      </c>
      <c r="D68" s="56" t="str">
        <f>'2. Implementation rate'!$R$3</f>
        <v>High scenario</v>
      </c>
      <c r="E68" s="41">
        <f>+'2. Implementation rate'!$W19*VLOOKUP(E$24,Tabelle5[[Emission reduction potential per stove ]:[Value]],2,0)</f>
        <v>28514.886121815893</v>
      </c>
      <c r="F68" s="42">
        <f>+'2. Implementation rate'!$P19*VLOOKUP(F$24,Tabelle5[[Emission reduction potential per stove ]:[Value]],2,0)</f>
        <v>28514.886121815893</v>
      </c>
      <c r="G68" s="42">
        <f>+'2. Implementation rate'!$P19*VLOOKUP(G$24,Tabelle5[[Emission reduction potential per stove ]:[Value]],2,0)</f>
        <v>42772.329182723843</v>
      </c>
      <c r="H68" s="42">
        <f>+'2. Implementation rate'!$P19*VLOOKUP(H$24,Tabelle5[[Emission reduction potential per stove ]:[Value]],2,0)</f>
        <v>57029.772243631785</v>
      </c>
      <c r="I68" s="43">
        <f>+'2. Implementation rate'!$P19*VLOOKUP(I$24,Tabelle5[[Emission reduction potential per stove ]:[Value]],2,0)</f>
        <v>71287.215304539728</v>
      </c>
    </row>
    <row r="69" spans="1:9" x14ac:dyDescent="0.2">
      <c r="A69" t="str">
        <f t="shared" si="2"/>
        <v>15-High scenario</v>
      </c>
      <c r="B69" s="167"/>
      <c r="C69" s="57">
        <v>15</v>
      </c>
      <c r="D69" s="58" t="str">
        <f>'2. Implementation rate'!$R$3</f>
        <v>High scenario</v>
      </c>
      <c r="E69" s="44">
        <f>+'2. Implementation rate'!$W20*VLOOKUP(E$24,Tabelle5[[Emission reduction potential per stove ]:[Value]],2,0)</f>
        <v>27089.141815725096</v>
      </c>
      <c r="F69" s="45">
        <f>+'2. Implementation rate'!$P20*VLOOKUP(F$24,Tabelle5[[Emission reduction potential per stove ]:[Value]],2,0)</f>
        <v>27089.141815725096</v>
      </c>
      <c r="G69" s="45">
        <f>+'2. Implementation rate'!$P20*VLOOKUP(G$24,Tabelle5[[Emission reduction potential per stove ]:[Value]],2,0)</f>
        <v>40633.71272358764</v>
      </c>
      <c r="H69" s="45">
        <f>+'2. Implementation rate'!$P20*VLOOKUP(H$24,Tabelle5[[Emission reduction potential per stove ]:[Value]],2,0)</f>
        <v>54178.283631450191</v>
      </c>
      <c r="I69" s="46">
        <f>+'2. Implementation rate'!$P20*VLOOKUP(I$24,Tabelle5[[Emission reduction potential per stove ]:[Value]],2,0)</f>
        <v>67722.854539312742</v>
      </c>
    </row>
  </sheetData>
  <mergeCells count="11">
    <mergeCell ref="B40:B54"/>
    <mergeCell ref="B55:B69"/>
    <mergeCell ref="O22:S22"/>
    <mergeCell ref="J22:N22"/>
    <mergeCell ref="M1:M17"/>
    <mergeCell ref="K1:K17"/>
    <mergeCell ref="B25:B39"/>
    <mergeCell ref="E22:I22"/>
    <mergeCell ref="E1:E17"/>
    <mergeCell ref="G1:G17"/>
    <mergeCell ref="I1:I17"/>
  </mergeCells>
  <phoneticPr fontId="15" type="noConversion"/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'1. ER potentials'!$B$4:$B$8</xm:f>
          </x14:formula1>
          <xm:sqref>F2 H2 J2 L2 N2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Models and ref</vt:lpstr>
      <vt:lpstr>Instructions</vt:lpstr>
      <vt:lpstr>1. ER potentials</vt:lpstr>
      <vt:lpstr>2. Implementation rate</vt:lpstr>
      <vt:lpstr>3. Cost-benefit analysis</vt:lpstr>
      <vt:lpstr>A. List</vt:lpstr>
      <vt:lpstr>B. ER outputs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Hilda Galt</cp:lastModifiedBy>
  <dcterms:created xsi:type="dcterms:W3CDTF">2019-05-03T10:33:28Z</dcterms:created>
  <dcterms:modified xsi:type="dcterms:W3CDTF">2024-03-06T13:55:25Z</dcterms:modified>
</cp:coreProperties>
</file>