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profmattleach-my.sharepoint.com/personal/matt_profmattleach_onmicrosoft_com/Documents/MECS/MECS/Other activities/Carbon credits/MECS MMECD article 6/"/>
    </mc:Choice>
  </mc:AlternateContent>
  <xr:revisionPtr revIDLastSave="159" documentId="8_{EA0A39E8-EA22-486E-A043-B5A4A3294017}" xr6:coauthVersionLast="47" xr6:coauthVersionMax="47" xr10:uidLastSave="{553F8A54-EA7F-43A6-9825-0862EC6F51F4}"/>
  <bookViews>
    <workbookView xWindow="-90" yWindow="-90" windowWidth="19380" windowHeight="11460" activeTab="1" xr2:uid="{888002CD-7D00-4282-BBF5-5D28B2537586}"/>
  </bookViews>
  <sheets>
    <sheet name="Cover" sheetId="9" r:id="rId1"/>
    <sheet name="BE" sheetId="6" r:id="rId2"/>
    <sheet name="PE" sheetId="8" r:id="rId3"/>
    <sheet name="LE" sheetId="11" r:id="rId4"/>
    <sheet name="ER" sheetId="1" r:id="rId5"/>
  </sheets>
  <externalReferences>
    <externalReference r:id="rId6"/>
    <externalReference r:id="rId7"/>
    <externalReference r:id="rId8"/>
    <externalReference r:id="rId9"/>
  </externalReferences>
  <definedNames>
    <definedName name="__123Graph_D" hidden="1">[1]PkRp!#REF!</definedName>
    <definedName name="_Fill" hidden="1">#REF!</definedName>
    <definedName name="_GoBack" localSheetId="1">BE!$G$9</definedName>
    <definedName name="_Key1" hidden="1">[2]L_23!#REF!</definedName>
    <definedName name="_Key2" hidden="1">[2]L_23!#REF!</definedName>
    <definedName name="_Order1" hidden="1">0</definedName>
    <definedName name="_Ref61526676" localSheetId="4">ER!#REF!</definedName>
    <definedName name="_Ref61531034" localSheetId="4">ER!$P$20</definedName>
    <definedName name="_Sort" hidden="1">[3]UshDeb00!#REF!</definedName>
    <definedName name="aa" hidden="1">{#N/A,#N/A,FALSE,"M.42"}</definedName>
    <definedName name="d" hidden="1">[3]UshDeb00!#REF!</definedName>
    <definedName name="EE" hidden="1">{#N/A,#N/A,FALSE,"M.42"}</definedName>
    <definedName name="h" hidden="1">{#N/A,#N/A,FALSE,"M.31"}</definedName>
    <definedName name="ha" hidden="1">[2]L_23!#REF!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k" hidden="1">{#N/A,#N/A,FALSE,"M.33"}</definedName>
    <definedName name="kinerja" hidden="1">{#N/A,#N/A,FALSE,"M.32"}</definedName>
    <definedName name="lamsd" hidden="1">{#N/A,#N/A,FALSE,"M.42"}</definedName>
    <definedName name="mj" hidden="1">{#N/A,#N/A,FALSE,"M.42"}</definedName>
    <definedName name="mmc" hidden="1">{#N/A,#N/A,FALSE,"M.42"}</definedName>
    <definedName name="mmd" hidden="1">{#N/A,#N/A,FALSE,"M.32"}</definedName>
    <definedName name="nnm" hidden="1">{#N/A,#N/A,FALSE,"M.43"}</definedName>
    <definedName name="nnnm" hidden="1">{#N/A,#N/A,FALSE,"M.42"}</definedName>
    <definedName name="p" hidden="1">{#N/A,#N/A,FALSE,"M.34"}</definedName>
    <definedName name="pp" hidden="1">{"'Sheet1'!$A$1:$H$145"}</definedName>
    <definedName name="prediksi_th03" hidden="1">{#N/A,#N/A,FALSE,"M.01";#N/A,#N/A,FALSE,"M.01"}</definedName>
    <definedName name="qqq" hidden="1">{#N/A,#N/A,FALSE,"M.42"}</definedName>
    <definedName name="qw" hidden="1">{#N/A,#N/A,FALSE,"M.33"}</definedName>
    <definedName name="s" hidden="1">{#N/A,#N/A,FALSE,"M.43"}</definedName>
    <definedName name="ss" hidden="1">{#N/A,#N/A,FALSE,"M.43"}</definedName>
    <definedName name="t" hidden="1">{#N/A,#N/A,FALSE,"M.02"}</definedName>
    <definedName name="u" hidden="1">{#N/A,#N/A,FALSE,"M.32"}</definedName>
    <definedName name="w" hidden="1">{#N/A,#N/A,FALSE,"M.01";#N/A,#N/A,FALSE,"M.01"}</definedName>
    <definedName name="wrn.M.01." hidden="1">{#N/A,#N/A,FALSE,"M.01"}</definedName>
    <definedName name="wrn.M.01D." hidden="1">{#N/A,#N/A,FALSE,"M.01";#N/A,#N/A,FALSE,"M.01"}</definedName>
    <definedName name="wrn.M.02." hidden="1">{#N/A,#N/A,FALSE,"M.02"}</definedName>
    <definedName name="wrn.M.31." hidden="1">{#N/A,#N/A,FALSE,"M.31"}</definedName>
    <definedName name="wrn.M.32." hidden="1">{#N/A,#N/A,FALSE,"M.32"}</definedName>
    <definedName name="wrn.M.33." hidden="1">{#N/A,#N/A,FALSE,"M.33"}</definedName>
    <definedName name="wrn.M.34." hidden="1">{#N/A,#N/A,FALSE,"M.34"}</definedName>
    <definedName name="wrn.M.41." hidden="1">{#N/A,#N/A,FALSE,"M.41"}</definedName>
    <definedName name="wrn.M.42" hidden="1">{#N/A,#N/A,FALSE,"M.41"}</definedName>
    <definedName name="wrn.M.42." hidden="1">{#N/A,#N/A,FALSE,"M.42"}</definedName>
    <definedName name="wrn.M.43." hidden="1">{#N/A,#N/A,FALSE,"M.43"}</definedName>
    <definedName name="wrn.PARA._.MARCO." hidden="1">{#N/A,#N/A,FALSE,"420-22 MOLIENDA";#N/A,#N/A,FALSE,"384-22 PREHOM. ADIT";#N/A,#N/A,FALSE,"560-23 MONT MEC ENFRIADOR";#N/A,#N/A,FALSE,"540-23 MONT MEC HORNO"}</definedName>
    <definedName name="x" hidden="1">{#N/A,#N/A,FALSE,"M.42"}</definedName>
    <definedName name="z" hidden="1">{#N/A,#N/A,FALSE,"M.01"}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6" l="1"/>
  <c r="O15" i="6"/>
  <c r="O14" i="6"/>
  <c r="O43" i="6"/>
  <c r="O44" i="6"/>
  <c r="O42" i="6"/>
  <c r="O47" i="6"/>
  <c r="O48" i="6"/>
  <c r="O46" i="6"/>
  <c r="F16" i="6"/>
  <c r="F15" i="6"/>
  <c r="F14" i="6"/>
  <c r="P79" i="6" l="1"/>
  <c r="P81" i="6" s="1"/>
  <c r="O79" i="6"/>
  <c r="M79" i="6"/>
  <c r="F15" i="8" l="1"/>
  <c r="O61" i="6" l="1"/>
  <c r="O80" i="6" s="1"/>
  <c r="O81" i="6" s="1"/>
  <c r="O82" i="6" l="1"/>
  <c r="O83" i="6" s="1"/>
  <c r="O84" i="6" s="1"/>
  <c r="O33" i="6"/>
  <c r="O34" i="6"/>
  <c r="O35" i="6"/>
  <c r="O37" i="6"/>
  <c r="O38" i="6"/>
  <c r="O39" i="6"/>
  <c r="O12" i="6" l="1" a="1"/>
  <c r="O12" i="6" s="1"/>
  <c r="O60" i="6" s="1"/>
  <c r="F33" i="6"/>
  <c r="F34" i="6"/>
  <c r="F14" i="8"/>
  <c r="F13" i="8" s="1"/>
  <c r="C29" i="9"/>
  <c r="D29" i="9" s="1"/>
  <c r="C30" i="9" s="1"/>
  <c r="D30" i="9" s="1"/>
  <c r="C31" i="9" s="1"/>
  <c r="D31" i="9" s="1"/>
  <c r="C32" i="9" s="1"/>
  <c r="B9" i="1"/>
  <c r="B10" i="1"/>
  <c r="C9" i="1" s="1"/>
  <c r="F48" i="8"/>
  <c r="F36" i="8"/>
  <c r="F68" i="8"/>
  <c r="F69" i="8"/>
  <c r="F55" i="8"/>
  <c r="H19" i="9"/>
  <c r="E10" i="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D20" i="9"/>
  <c r="F37" i="6"/>
  <c r="F35" i="6"/>
  <c r="F38" i="6"/>
  <c r="F39" i="6"/>
  <c r="D112" i="1"/>
  <c r="F10" i="8" l="1"/>
  <c r="F59" i="6" s="1"/>
  <c r="O59" i="6"/>
  <c r="O57" i="6" s="1"/>
  <c r="F12" i="6" a="1"/>
  <c r="F12" i="6" s="1"/>
  <c r="F60" i="6" s="1"/>
  <c r="F27" i="8"/>
  <c r="C10" i="1"/>
  <c r="B11" i="1" s="1"/>
  <c r="C11" i="1" s="1"/>
  <c r="B12" i="1" s="1"/>
  <c r="C12" i="1" s="1"/>
  <c r="B13" i="1" s="1"/>
  <c r="C13" i="1" s="1"/>
  <c r="B14" i="1" s="1"/>
  <c r="C14" i="1" s="1"/>
  <c r="B15" i="1" s="1"/>
  <c r="C15" i="1" s="1"/>
  <c r="B16" i="1" s="1"/>
  <c r="C16" i="1" s="1"/>
  <c r="B17" i="1" s="1"/>
  <c r="C17" i="1" s="1"/>
  <c r="B18" i="1" s="1"/>
  <c r="C18" i="1" s="1"/>
  <c r="B19" i="1" s="1"/>
  <c r="C19" i="1" s="1"/>
  <c r="B20" i="1" s="1"/>
  <c r="C20" i="1" s="1"/>
  <c r="B21" i="1" s="1"/>
  <c r="C21" i="1" s="1"/>
  <c r="B22" i="1" s="1"/>
  <c r="C22" i="1" s="1"/>
  <c r="B23" i="1" s="1"/>
  <c r="C23" i="1" s="1"/>
  <c r="B24" i="1" s="1"/>
  <c r="C24" i="1" s="1"/>
  <c r="B25" i="1" s="1"/>
  <c r="C25" i="1" s="1"/>
  <c r="B26" i="1" s="1"/>
  <c r="C26" i="1" s="1"/>
  <c r="B27" i="1" s="1"/>
  <c r="C27" i="1" s="1"/>
  <c r="B28" i="1" s="1"/>
  <c r="C28" i="1" s="1"/>
  <c r="B29" i="1" s="1"/>
  <c r="C29" i="1" s="1"/>
  <c r="B30" i="1" s="1"/>
  <c r="C30" i="1" s="1"/>
  <c r="B31" i="1" s="1"/>
  <c r="C31" i="1" s="1"/>
  <c r="B32" i="1" s="1"/>
  <c r="C32" i="1" s="1"/>
  <c r="B33" i="1" s="1"/>
  <c r="C33" i="1" s="1"/>
  <c r="B34" i="1" s="1"/>
  <c r="C34" i="1" s="1"/>
  <c r="B35" i="1" s="1"/>
  <c r="C35" i="1" s="1"/>
  <c r="B36" i="1" s="1"/>
  <c r="C36" i="1" s="1"/>
  <c r="B37" i="1" s="1"/>
  <c r="C37" i="1" s="1"/>
  <c r="B38" i="1" s="1"/>
  <c r="C38" i="1" s="1"/>
  <c r="B39" i="1" s="1"/>
  <c r="C39" i="1" s="1"/>
  <c r="B40" i="1" s="1"/>
  <c r="C40" i="1" s="1"/>
  <c r="B41" i="1" s="1"/>
  <c r="C41" i="1" s="1"/>
  <c r="B42" i="1" s="1"/>
  <c r="C42" i="1" s="1"/>
  <c r="B43" i="1" s="1"/>
  <c r="C43" i="1" s="1"/>
  <c r="B44" i="1" s="1"/>
  <c r="C44" i="1" s="1"/>
  <c r="B45" i="1" s="1"/>
  <c r="C45" i="1" s="1"/>
  <c r="B46" i="1" s="1"/>
  <c r="C46" i="1" s="1"/>
  <c r="B47" i="1" s="1"/>
  <c r="C47" i="1" s="1"/>
  <c r="B48" i="1" s="1"/>
  <c r="C48" i="1" s="1"/>
  <c r="B49" i="1" s="1"/>
  <c r="C49" i="1" s="1"/>
  <c r="B50" i="1" s="1"/>
  <c r="C50" i="1" s="1"/>
  <c r="B51" i="1" s="1"/>
  <c r="C51" i="1" s="1"/>
  <c r="B52" i="1" s="1"/>
  <c r="C52" i="1" s="1"/>
  <c r="B53" i="1" s="1"/>
  <c r="C53" i="1" s="1"/>
  <c r="B54" i="1" s="1"/>
  <c r="C54" i="1" s="1"/>
  <c r="B55" i="1" s="1"/>
  <c r="C55" i="1" s="1"/>
  <c r="B56" i="1" s="1"/>
  <c r="C56" i="1" s="1"/>
  <c r="B57" i="1" s="1"/>
  <c r="C57" i="1" s="1"/>
  <c r="B58" i="1" s="1"/>
  <c r="C58" i="1" s="1"/>
  <c r="B59" i="1" s="1"/>
  <c r="C59" i="1" s="1"/>
  <c r="B60" i="1" s="1"/>
  <c r="C60" i="1" s="1"/>
  <c r="B61" i="1" s="1"/>
  <c r="C61" i="1" s="1"/>
  <c r="B62" i="1" s="1"/>
  <c r="C62" i="1" s="1"/>
  <c r="B63" i="1" s="1"/>
  <c r="C63" i="1" s="1"/>
  <c r="B64" i="1" s="1"/>
  <c r="C64" i="1" s="1"/>
  <c r="B65" i="1" s="1"/>
  <c r="C65" i="1" s="1"/>
  <c r="B66" i="1" s="1"/>
  <c r="C66" i="1" s="1"/>
  <c r="B67" i="1" s="1"/>
  <c r="C67" i="1" s="1"/>
  <c r="B68" i="1" s="1"/>
  <c r="C68" i="1" s="1"/>
  <c r="B69" i="1" s="1"/>
  <c r="C69" i="1" s="1"/>
  <c r="B70" i="1" s="1"/>
  <c r="C70" i="1" s="1"/>
  <c r="B71" i="1" s="1"/>
  <c r="C71" i="1" s="1"/>
  <c r="B72" i="1" s="1"/>
  <c r="C72" i="1" s="1"/>
  <c r="B73" i="1" s="1"/>
  <c r="C73" i="1" s="1"/>
  <c r="B74" i="1" s="1"/>
  <c r="C74" i="1" s="1"/>
  <c r="B75" i="1" s="1"/>
  <c r="C75" i="1" s="1"/>
  <c r="B76" i="1" s="1"/>
  <c r="C76" i="1" s="1"/>
  <c r="B77" i="1" s="1"/>
  <c r="C77" i="1" s="1"/>
  <c r="B78" i="1" s="1"/>
  <c r="C78" i="1" s="1"/>
  <c r="B79" i="1" s="1"/>
  <c r="C79" i="1" s="1"/>
  <c r="B80" i="1" s="1"/>
  <c r="C80" i="1" s="1"/>
  <c r="B81" i="1" s="1"/>
  <c r="C81" i="1" s="1"/>
  <c r="B82" i="1" s="1"/>
  <c r="C82" i="1" s="1"/>
  <c r="B83" i="1" s="1"/>
  <c r="C83" i="1" s="1"/>
  <c r="B84" i="1" s="1"/>
  <c r="C84" i="1" s="1"/>
  <c r="B85" i="1" s="1"/>
  <c r="C85" i="1" s="1"/>
  <c r="B86" i="1" s="1"/>
  <c r="C86" i="1" s="1"/>
  <c r="B87" i="1" s="1"/>
  <c r="C87" i="1" s="1"/>
  <c r="B88" i="1" s="1"/>
  <c r="C88" i="1" s="1"/>
  <c r="B89" i="1" s="1"/>
  <c r="C89" i="1" s="1"/>
  <c r="B90" i="1" s="1"/>
  <c r="C90" i="1" s="1"/>
  <c r="B91" i="1" s="1"/>
  <c r="C91" i="1" s="1"/>
  <c r="B92" i="1" s="1"/>
  <c r="C92" i="1" s="1"/>
  <c r="B93" i="1" s="1"/>
  <c r="C93" i="1" s="1"/>
  <c r="B94" i="1" s="1"/>
  <c r="C94" i="1" s="1"/>
  <c r="B95" i="1" s="1"/>
  <c r="C95" i="1" s="1"/>
  <c r="B96" i="1" s="1"/>
  <c r="C96" i="1" s="1"/>
  <c r="B97" i="1" s="1"/>
  <c r="C97" i="1" s="1"/>
  <c r="B98" i="1" s="1"/>
  <c r="C98" i="1" s="1"/>
  <c r="B99" i="1" s="1"/>
  <c r="C99" i="1" s="1"/>
  <c r="B100" i="1" s="1"/>
  <c r="C100" i="1" s="1"/>
  <c r="B101" i="1" s="1"/>
  <c r="C101" i="1" s="1"/>
  <c r="B102" i="1" s="1"/>
  <c r="C102" i="1" s="1"/>
  <c r="B103" i="1" s="1"/>
  <c r="C103" i="1" s="1"/>
  <c r="B104" i="1" s="1"/>
  <c r="C104" i="1" s="1"/>
  <c r="B105" i="1" s="1"/>
  <c r="C105" i="1" s="1"/>
  <c r="B106" i="1" s="1"/>
  <c r="C106" i="1" s="1"/>
  <c r="B107" i="1" s="1"/>
  <c r="C107" i="1" s="1"/>
  <c r="B108" i="1" s="1"/>
  <c r="C108" i="1" s="1"/>
  <c r="B109" i="1" s="1"/>
  <c r="C109" i="1" s="1"/>
  <c r="B110" i="1" s="1"/>
  <c r="C110" i="1" s="1"/>
  <c r="B111" i="1" s="1"/>
  <c r="D32" i="9"/>
  <c r="C33" i="9" s="1"/>
  <c r="O58" i="6" l="1"/>
  <c r="F4" i="6"/>
  <c r="F5" i="6" s="1"/>
  <c r="F25" i="8"/>
  <c r="F26" i="8" s="1"/>
  <c r="F57" i="6"/>
  <c r="F58" i="6" s="1"/>
  <c r="D33" i="9"/>
  <c r="F2" i="11" l="1"/>
  <c r="F3" i="11" s="1"/>
  <c r="I26" i="1" s="1"/>
  <c r="F66" i="8"/>
  <c r="F4" i="8" s="1"/>
  <c r="F5" i="8" s="1"/>
  <c r="F67" i="8"/>
  <c r="I58" i="1"/>
  <c r="G11" i="1"/>
  <c r="G15" i="1"/>
  <c r="G19" i="1"/>
  <c r="G23" i="1"/>
  <c r="G27" i="1"/>
  <c r="G31" i="1"/>
  <c r="G35" i="1"/>
  <c r="G39" i="1"/>
  <c r="G43" i="1"/>
  <c r="G47" i="1"/>
  <c r="G51" i="1"/>
  <c r="G55" i="1"/>
  <c r="G59" i="1"/>
  <c r="G63" i="1"/>
  <c r="G67" i="1"/>
  <c r="G71" i="1"/>
  <c r="G75" i="1"/>
  <c r="G79" i="1"/>
  <c r="G83" i="1"/>
  <c r="G87" i="1"/>
  <c r="G91" i="1"/>
  <c r="G95" i="1"/>
  <c r="G99" i="1"/>
  <c r="G103" i="1"/>
  <c r="G107" i="1"/>
  <c r="G9" i="1"/>
  <c r="G13" i="1"/>
  <c r="G17" i="1"/>
  <c r="G21" i="1"/>
  <c r="G25" i="1"/>
  <c r="G29" i="1"/>
  <c r="G33" i="1"/>
  <c r="G37" i="1"/>
  <c r="G41" i="1"/>
  <c r="G45" i="1"/>
  <c r="G49" i="1"/>
  <c r="G53" i="1"/>
  <c r="G57" i="1"/>
  <c r="G61" i="1"/>
  <c r="G65" i="1"/>
  <c r="G69" i="1"/>
  <c r="G73" i="1"/>
  <c r="G77" i="1"/>
  <c r="G81" i="1"/>
  <c r="G85" i="1"/>
  <c r="G89" i="1"/>
  <c r="G93" i="1"/>
  <c r="G97" i="1"/>
  <c r="G101" i="1"/>
  <c r="G109" i="1"/>
  <c r="G10" i="1"/>
  <c r="G18" i="1"/>
  <c r="G26" i="1"/>
  <c r="G38" i="1"/>
  <c r="G46" i="1"/>
  <c r="G54" i="1"/>
  <c r="G62" i="1"/>
  <c r="G70" i="1"/>
  <c r="G78" i="1"/>
  <c r="G86" i="1"/>
  <c r="G94" i="1"/>
  <c r="G102" i="1"/>
  <c r="G110" i="1"/>
  <c r="G12" i="1"/>
  <c r="G16" i="1"/>
  <c r="G20" i="1"/>
  <c r="G24" i="1"/>
  <c r="G28" i="1"/>
  <c r="G32" i="1"/>
  <c r="G36" i="1"/>
  <c r="G40" i="1"/>
  <c r="G44" i="1"/>
  <c r="G48" i="1"/>
  <c r="G52" i="1"/>
  <c r="G56" i="1"/>
  <c r="G60" i="1"/>
  <c r="G64" i="1"/>
  <c r="G68" i="1"/>
  <c r="G72" i="1"/>
  <c r="G76" i="1"/>
  <c r="G80" i="1"/>
  <c r="G84" i="1"/>
  <c r="G88" i="1"/>
  <c r="G92" i="1"/>
  <c r="G96" i="1"/>
  <c r="G100" i="1"/>
  <c r="G104" i="1"/>
  <c r="G108" i="1"/>
  <c r="G105" i="1"/>
  <c r="G14" i="1"/>
  <c r="G22" i="1"/>
  <c r="G30" i="1"/>
  <c r="G34" i="1"/>
  <c r="G42" i="1"/>
  <c r="G50" i="1"/>
  <c r="G58" i="1"/>
  <c r="G66" i="1"/>
  <c r="G74" i="1"/>
  <c r="G82" i="1"/>
  <c r="G90" i="1"/>
  <c r="G98" i="1"/>
  <c r="G106" i="1"/>
  <c r="I27" i="1"/>
  <c r="I22" i="1"/>
  <c r="I93" i="1"/>
  <c r="I88" i="1"/>
  <c r="I46" i="1"/>
  <c r="I52" i="1"/>
  <c r="I32" i="1"/>
  <c r="I101" i="1"/>
  <c r="I37" i="1"/>
  <c r="I44" i="1"/>
  <c r="I28" i="1"/>
  <c r="H35" i="1"/>
  <c r="H12" i="1"/>
  <c r="H16" i="1"/>
  <c r="H20" i="1"/>
  <c r="H24" i="1"/>
  <c r="H28" i="1"/>
  <c r="H36" i="1"/>
  <c r="H40" i="1"/>
  <c r="H44" i="1"/>
  <c r="H48" i="1"/>
  <c r="H52" i="1"/>
  <c r="H56" i="1"/>
  <c r="H60" i="1"/>
  <c r="H64" i="1"/>
  <c r="H68" i="1"/>
  <c r="H72" i="1"/>
  <c r="H76" i="1"/>
  <c r="H80" i="1"/>
  <c r="H84" i="1"/>
  <c r="H88" i="1"/>
  <c r="H92" i="1"/>
  <c r="H96" i="1"/>
  <c r="H100" i="1"/>
  <c r="H104" i="1"/>
  <c r="H108" i="1"/>
  <c r="H32" i="1"/>
  <c r="H9" i="1"/>
  <c r="H13" i="1"/>
  <c r="H17" i="1"/>
  <c r="H21" i="1"/>
  <c r="H25" i="1"/>
  <c r="H29" i="1"/>
  <c r="H37" i="1"/>
  <c r="H41" i="1"/>
  <c r="H45" i="1"/>
  <c r="H49" i="1"/>
  <c r="H53" i="1"/>
  <c r="H57" i="1"/>
  <c r="H61" i="1"/>
  <c r="H65" i="1"/>
  <c r="H69" i="1"/>
  <c r="H73" i="1"/>
  <c r="H77" i="1"/>
  <c r="H81" i="1"/>
  <c r="H85" i="1"/>
  <c r="H89" i="1"/>
  <c r="H93" i="1"/>
  <c r="H97" i="1"/>
  <c r="H101" i="1"/>
  <c r="H105" i="1"/>
  <c r="H109" i="1"/>
  <c r="H33" i="1"/>
  <c r="H10" i="1"/>
  <c r="H14" i="1"/>
  <c r="H18" i="1"/>
  <c r="H22" i="1"/>
  <c r="H26" i="1"/>
  <c r="H30" i="1"/>
  <c r="H38" i="1"/>
  <c r="H42" i="1"/>
  <c r="H46" i="1"/>
  <c r="H50" i="1"/>
  <c r="H54" i="1"/>
  <c r="H58" i="1"/>
  <c r="H62" i="1"/>
  <c r="H70" i="1"/>
  <c r="H74" i="1"/>
  <c r="H78" i="1"/>
  <c r="H82" i="1"/>
  <c r="H86" i="1"/>
  <c r="H90" i="1"/>
  <c r="H94" i="1"/>
  <c r="H98" i="1"/>
  <c r="H102" i="1"/>
  <c r="H106" i="1"/>
  <c r="H34" i="1"/>
  <c r="H11" i="1"/>
  <c r="H15" i="1"/>
  <c r="H19" i="1"/>
  <c r="H27" i="1"/>
  <c r="H31" i="1"/>
  <c r="H39" i="1"/>
  <c r="H47" i="1"/>
  <c r="H51" i="1"/>
  <c r="H59" i="1"/>
  <c r="H67" i="1"/>
  <c r="H71" i="1"/>
  <c r="H79" i="1"/>
  <c r="H83" i="1"/>
  <c r="H91" i="1"/>
  <c r="H95" i="1"/>
  <c r="H103" i="1"/>
  <c r="H66" i="1"/>
  <c r="H110" i="1"/>
  <c r="H23" i="1"/>
  <c r="H43" i="1"/>
  <c r="H55" i="1"/>
  <c r="H63" i="1"/>
  <c r="H75" i="1"/>
  <c r="H87" i="1"/>
  <c r="H99" i="1"/>
  <c r="H107" i="1"/>
  <c r="I92" i="1" l="1"/>
  <c r="J92" i="1" s="1"/>
  <c r="I89" i="1"/>
  <c r="I71" i="1"/>
  <c r="I57" i="1"/>
  <c r="I104" i="1"/>
  <c r="I59" i="1"/>
  <c r="I20" i="1"/>
  <c r="I108" i="1"/>
  <c r="J108" i="1" s="1"/>
  <c r="I83" i="1"/>
  <c r="I11" i="1"/>
  <c r="J11" i="1" s="1"/>
  <c r="I19" i="1"/>
  <c r="J19" i="1" s="1"/>
  <c r="I100" i="1"/>
  <c r="J100" i="1" s="1"/>
  <c r="I102" i="1"/>
  <c r="J102" i="1" s="1"/>
  <c r="I86" i="1"/>
  <c r="I72" i="1"/>
  <c r="I39" i="1"/>
  <c r="J39" i="1" s="1"/>
  <c r="I84" i="1"/>
  <c r="J84" i="1" s="1"/>
  <c r="I81" i="1"/>
  <c r="I25" i="1"/>
  <c r="I69" i="1"/>
  <c r="J69" i="1" s="1"/>
  <c r="I43" i="1"/>
  <c r="I24" i="1"/>
  <c r="J24" i="1" s="1"/>
  <c r="I103" i="1"/>
  <c r="I13" i="1"/>
  <c r="I17" i="1"/>
  <c r="J17" i="1" s="1"/>
  <c r="I94" i="1"/>
  <c r="I60" i="1"/>
  <c r="I107" i="1"/>
  <c r="I56" i="1"/>
  <c r="J56" i="1" s="1"/>
  <c r="I54" i="1"/>
  <c r="I65" i="1"/>
  <c r="I68" i="1"/>
  <c r="J68" i="1" s="1"/>
  <c r="I41" i="1"/>
  <c r="I97" i="1"/>
  <c r="J97" i="1" s="1"/>
  <c r="I98" i="1"/>
  <c r="J98" i="1" s="1"/>
  <c r="I34" i="1"/>
  <c r="J34" i="1" s="1"/>
  <c r="I38" i="1"/>
  <c r="J38" i="1" s="1"/>
  <c r="I10" i="1"/>
  <c r="I70" i="1"/>
  <c r="I50" i="1"/>
  <c r="J50" i="1" s="1"/>
  <c r="I36" i="1"/>
  <c r="I29" i="1"/>
  <c r="I90" i="1"/>
  <c r="I73" i="1"/>
  <c r="J73" i="1" s="1"/>
  <c r="I82" i="1"/>
  <c r="I110" i="1"/>
  <c r="J110" i="1" s="1"/>
  <c r="I95" i="1"/>
  <c r="J95" i="1" s="1"/>
  <c r="I42" i="1"/>
  <c r="I45" i="1"/>
  <c r="I47" i="1"/>
  <c r="I76" i="1"/>
  <c r="I49" i="1"/>
  <c r="I105" i="1"/>
  <c r="I66" i="1"/>
  <c r="I78" i="1"/>
  <c r="I74" i="1"/>
  <c r="I85" i="1"/>
  <c r="I67" i="1"/>
  <c r="J67" i="1" s="1"/>
  <c r="I64" i="1"/>
  <c r="J64" i="1" s="1"/>
  <c r="I23" i="1"/>
  <c r="J23" i="1" s="1"/>
  <c r="I96" i="1"/>
  <c r="J96" i="1" s="1"/>
  <c r="I12" i="1"/>
  <c r="I15" i="1"/>
  <c r="I55" i="1"/>
  <c r="I14" i="1"/>
  <c r="J14" i="1" s="1"/>
  <c r="I30" i="1"/>
  <c r="J30" i="1" s="1"/>
  <c r="I35" i="1"/>
  <c r="I9" i="1"/>
  <c r="J9" i="1" s="1"/>
  <c r="I106" i="1"/>
  <c r="I77" i="1"/>
  <c r="I40" i="1"/>
  <c r="J40" i="1" s="1"/>
  <c r="I21" i="1"/>
  <c r="J21" i="1" s="1"/>
  <c r="I75" i="1"/>
  <c r="J75" i="1" s="1"/>
  <c r="I51" i="1"/>
  <c r="I48" i="1"/>
  <c r="I63" i="1"/>
  <c r="I79" i="1"/>
  <c r="J79" i="1" s="1"/>
  <c r="I99" i="1"/>
  <c r="J99" i="1" s="1"/>
  <c r="I80" i="1"/>
  <c r="I62" i="1"/>
  <c r="J62" i="1" s="1"/>
  <c r="I87" i="1"/>
  <c r="J87" i="1" s="1"/>
  <c r="I91" i="1"/>
  <c r="I61" i="1"/>
  <c r="J61" i="1" s="1"/>
  <c r="I31" i="1"/>
  <c r="J31" i="1" s="1"/>
  <c r="I18" i="1"/>
  <c r="I16" i="1"/>
  <c r="I109" i="1"/>
  <c r="J109" i="1" s="1"/>
  <c r="I33" i="1"/>
  <c r="J33" i="1" s="1"/>
  <c r="I53" i="1"/>
  <c r="J53" i="1" s="1"/>
  <c r="J51" i="1"/>
  <c r="E33" i="9"/>
  <c r="J106" i="1"/>
  <c r="J25" i="1"/>
  <c r="J36" i="1"/>
  <c r="J49" i="1"/>
  <c r="J58" i="1"/>
  <c r="J81" i="1"/>
  <c r="J47" i="1"/>
  <c r="J93" i="1"/>
  <c r="J83" i="1"/>
  <c r="E29" i="9"/>
  <c r="J43" i="1"/>
  <c r="J103" i="1"/>
  <c r="J27" i="1"/>
  <c r="J94" i="1"/>
  <c r="J65" i="1"/>
  <c r="J29" i="1"/>
  <c r="E31" i="9"/>
  <c r="J16" i="1"/>
  <c r="E30" i="9"/>
  <c r="E32" i="9"/>
  <c r="J91" i="1"/>
  <c r="J70" i="1"/>
  <c r="J59" i="1"/>
  <c r="J26" i="1"/>
  <c r="J35" i="1"/>
  <c r="J90" i="1"/>
  <c r="J74" i="1"/>
  <c r="J77" i="1"/>
  <c r="J45" i="1"/>
  <c r="J48" i="1"/>
  <c r="J85" i="1"/>
  <c r="J76" i="1"/>
  <c r="J107" i="1"/>
  <c r="J63" i="1"/>
  <c r="J15" i="1"/>
  <c r="J89" i="1"/>
  <c r="J12" i="1"/>
  <c r="J55" i="1"/>
  <c r="J13" i="1"/>
  <c r="J20" i="1"/>
  <c r="J22" i="1"/>
  <c r="J54" i="1"/>
  <c r="J71" i="1"/>
  <c r="J18" i="1"/>
  <c r="J60" i="1"/>
  <c r="G33" i="9"/>
  <c r="J42" i="1"/>
  <c r="J46" i="1"/>
  <c r="J10" i="1"/>
  <c r="J37" i="1"/>
  <c r="J88" i="1"/>
  <c r="J52" i="1"/>
  <c r="J41" i="1"/>
  <c r="J28" i="1"/>
  <c r="G32" i="9"/>
  <c r="J78" i="1"/>
  <c r="J104" i="1"/>
  <c r="J72" i="1"/>
  <c r="J86" i="1"/>
  <c r="J105" i="1"/>
  <c r="J57" i="1"/>
  <c r="J66" i="1"/>
  <c r="J82" i="1"/>
  <c r="J101" i="1"/>
  <c r="J44" i="1"/>
  <c r="F29" i="9"/>
  <c r="F30" i="9"/>
  <c r="F31" i="9"/>
  <c r="J32" i="1"/>
  <c r="J80" i="1"/>
  <c r="F33" i="9"/>
  <c r="F32" i="9"/>
  <c r="G29" i="9" l="1"/>
  <c r="H29" i="9" s="1"/>
  <c r="G31" i="9"/>
  <c r="H31" i="9" s="1"/>
  <c r="G30" i="9"/>
  <c r="H30" i="9" s="1"/>
  <c r="E34" i="9"/>
  <c r="H33" i="9"/>
  <c r="H32" i="9"/>
  <c r="F34" i="9"/>
  <c r="G34" i="9" l="1"/>
  <c r="H3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<sst xmlns="http://schemas.openxmlformats.org/spreadsheetml/2006/main" count="527" uniqueCount="254">
  <si>
    <t>Emission reduction calculation tool</t>
  </si>
  <si>
    <t>Standard</t>
  </si>
  <si>
    <t>GS4GG</t>
  </si>
  <si>
    <t>Methodology</t>
  </si>
  <si>
    <t>METHODOLOGY-SDG IQ Methodology for metered &amp; measured energy cooking devices, Version 1.0</t>
  </si>
  <si>
    <t>Version of the ER tool</t>
  </si>
  <si>
    <t>Date</t>
  </si>
  <si>
    <t>Note</t>
  </si>
  <si>
    <r>
      <t xml:space="preserve">Only change the cells with </t>
    </r>
    <r>
      <rPr>
        <b/>
        <sz val="11"/>
        <color rgb="FFFFFF00"/>
        <rFont val="Verdana"/>
        <family val="2"/>
        <scheme val="minor"/>
      </rPr>
      <t>YELLOW</t>
    </r>
    <r>
      <rPr>
        <b/>
        <sz val="11"/>
        <color theme="1"/>
        <rFont val="Verdana"/>
        <family val="2"/>
        <scheme val="minor"/>
      </rPr>
      <t xml:space="preserve"> highlight</t>
    </r>
  </si>
  <si>
    <r>
      <t>This tool is applicable for the project with</t>
    </r>
    <r>
      <rPr>
        <b/>
        <u/>
        <sz val="11"/>
        <color theme="1"/>
        <rFont val="Verdana"/>
        <family val="2"/>
        <scheme val="minor"/>
      </rPr>
      <t xml:space="preserve"> single project scenario</t>
    </r>
    <r>
      <rPr>
        <sz val="11"/>
        <color theme="1"/>
        <rFont val="Arial"/>
        <family val="2"/>
      </rPr>
      <t>. In case the PD has more than 1 type of project scenario (e.g., project stove which are 5% different in absolute term, the PP could (1) create different files for different project scenarios OR (2) Copy the tab "ER schedule per month) but edit the input parameters accordingly. The summary table in tab "Cover" should also be updated.</t>
    </r>
  </si>
  <si>
    <t xml:space="preserve">Project Information </t>
    <phoneticPr fontId="0" type="noConversion"/>
  </si>
  <si>
    <t>Project name</t>
  </si>
  <si>
    <t>Super Saver ICS distribution in Wonderland</t>
  </si>
  <si>
    <t>Insert project name</t>
  </si>
  <si>
    <t>GS ID</t>
    <phoneticPr fontId="0" type="noConversion"/>
  </si>
  <si>
    <t>GS12345</t>
  </si>
  <si>
    <t>Insert GS ID.</t>
    <phoneticPr fontId="0" type="noConversion"/>
  </si>
  <si>
    <t xml:space="preserve">Crediting period </t>
    <phoneticPr fontId="0" type="noConversion"/>
  </si>
  <si>
    <t>5 years, renewal twice</t>
  </si>
  <si>
    <t>Project Start date</t>
  </si>
  <si>
    <t>Insert Project start date (DD/MM/YYYY).</t>
  </si>
  <si>
    <t>Crediting period - Start date</t>
  </si>
  <si>
    <t>Insert CP start date (DD/MM/YYYY).</t>
  </si>
  <si>
    <t>Crediting period - End date</t>
  </si>
  <si>
    <t>N/A</t>
    <phoneticPr fontId="0" type="noConversion"/>
  </si>
  <si>
    <t>Baseline Cookstove type</t>
    <phoneticPr fontId="0" type="noConversion"/>
  </si>
  <si>
    <t>TSF</t>
  </si>
  <si>
    <t>Insert the type of baseline cookstove for example three stone, mud stove etc.</t>
    <phoneticPr fontId="0" type="noConversion"/>
  </si>
  <si>
    <t xml:space="preserve">Project Technology </t>
    <phoneticPr fontId="0" type="noConversion"/>
  </si>
  <si>
    <t>Super Saver</t>
  </si>
  <si>
    <t>Insert the type of project cookstove (brand name/design etc.) for example Ecostove</t>
  </si>
  <si>
    <t xml:space="preserve">Project fuel </t>
  </si>
  <si>
    <t>Select the fuel type for project stove. Please note that there are 3 cases of project fuel which are Electricity, Fossil fuel - FF (such as LPG) and Renewable fuel - RF (such as ethanol, etc.)</t>
  </si>
  <si>
    <t xml:space="preserve">Project Technology Useful Lifetime </t>
    <phoneticPr fontId="0" type="noConversion"/>
  </si>
  <si>
    <t>Select the useful lifetime of the project cookstove as per the manufactures specifications.</t>
    <phoneticPr fontId="0" type="noConversion"/>
  </si>
  <si>
    <t>Emission reduction per year</t>
  </si>
  <si>
    <t>Vintage</t>
  </si>
  <si>
    <t>From</t>
  </si>
  <si>
    <t>To</t>
  </si>
  <si>
    <t>Baseline emission (tCO2e)</t>
  </si>
  <si>
    <t>Project emission (tCO2e)</t>
  </si>
  <si>
    <t>Leakage emission (tCO2e)</t>
  </si>
  <si>
    <t>Emission reduction (tCO2e)</t>
  </si>
  <si>
    <t>Year 1</t>
  </si>
  <si>
    <t>Year 2</t>
  </si>
  <si>
    <t>Year 3</t>
  </si>
  <si>
    <t>Year 4</t>
  </si>
  <si>
    <t>Year 5</t>
  </si>
  <si>
    <t>Average</t>
  </si>
  <si>
    <t>Parameter</t>
  </si>
  <si>
    <t>Decription</t>
  </si>
  <si>
    <t>Eq#</t>
  </si>
  <si>
    <t>Value</t>
  </si>
  <si>
    <t>Unit</t>
  </si>
  <si>
    <t>Sources</t>
  </si>
  <si>
    <t xml:space="preserve">Estimating baseline emission factor </t>
  </si>
  <si>
    <t xml:space="preserve"> </t>
  </si>
  <si>
    <t>=</t>
  </si>
  <si>
    <t>Wood consumption</t>
  </si>
  <si>
    <t>tonnes</t>
  </si>
  <si>
    <t>&lt;&lt; Assume as 5 kg wood/day</t>
  </si>
  <si>
    <t>Charcoal consumption</t>
  </si>
  <si>
    <t>&lt;&lt; Assume as 1 kg charcoal/day</t>
  </si>
  <si>
    <t>LPG consumption</t>
  </si>
  <si>
    <t>&lt;&lt; Assume as 0.1 kg LPG/day</t>
  </si>
  <si>
    <t>&lt;&lt; IPCC default data</t>
  </si>
  <si>
    <t>EFb,wood,nonCO2</t>
  </si>
  <si>
    <t>EFb,charcoal,nonCO2</t>
  </si>
  <si>
    <t>EFb,LPG,nonCO2</t>
  </si>
  <si>
    <t>Assume as zero</t>
  </si>
  <si>
    <t>Calculated</t>
  </si>
  <si>
    <t>Non-renewability status of woody biomass fuel i during year y</t>
  </si>
  <si>
    <t>-</t>
  </si>
  <si>
    <t>&lt;&lt; Assumption</t>
  </si>
  <si>
    <t>TJ/tonne</t>
  </si>
  <si>
    <t>Efficiency of Traditional wood stove</t>
  </si>
  <si>
    <t>&lt;&lt; MECD methodology</t>
  </si>
  <si>
    <t>Efficiency of Traditional charcoal stove</t>
  </si>
  <si>
    <t>Efficiency of LPG Stove</t>
  </si>
  <si>
    <t>k</t>
  </si>
  <si>
    <t>j</t>
  </si>
  <si>
    <t>i</t>
  </si>
  <si>
    <t>Percentage of HH use Wood</t>
  </si>
  <si>
    <t>Percentage of HH use Charcoal</t>
  </si>
  <si>
    <t>Percentage of HH use LPG</t>
  </si>
  <si>
    <t>Estimating overall Baseline Emission (BE)</t>
  </si>
  <si>
    <t>tCO2e/device/year</t>
  </si>
  <si>
    <t>tCO2e/device/month</t>
  </si>
  <si>
    <t>The amount of useful energy applied in the project in year y (TJ)</t>
  </si>
  <si>
    <t>TJ</t>
  </si>
  <si>
    <t>tCO2e/TJ</t>
  </si>
  <si>
    <t>Applied Project emission</t>
  </si>
  <si>
    <t>tCO2/year/device</t>
  </si>
  <si>
    <t>tCO2/month/device</t>
  </si>
  <si>
    <t>Electric stove</t>
  </si>
  <si>
    <t>Estimating total electricity use in the projet scenario</t>
  </si>
  <si>
    <t>Eq. 3</t>
  </si>
  <si>
    <t>MWh/Year</t>
  </si>
  <si>
    <t>Egp,d,y</t>
  </si>
  <si>
    <t>kWh/day/hh</t>
  </si>
  <si>
    <t>kWh/day/pp</t>
  </si>
  <si>
    <t>Number of people per household</t>
  </si>
  <si>
    <t>pp/hh</t>
  </si>
  <si>
    <t>Assumption</t>
  </si>
  <si>
    <t>Factor to convert MWh to TJ</t>
  </si>
  <si>
    <t>factor</t>
  </si>
  <si>
    <t>Energy efficiency of the project device (fraction)</t>
  </si>
  <si>
    <t>Days</t>
  </si>
  <si>
    <t>Number of days per year</t>
  </si>
  <si>
    <t>days</t>
  </si>
  <si>
    <t>General knowledge</t>
  </si>
  <si>
    <t>Estimating project emisison</t>
  </si>
  <si>
    <t>MWh</t>
  </si>
  <si>
    <t>tCO2e/MWh</t>
  </si>
  <si>
    <t>Vietnam, example</t>
  </si>
  <si>
    <t>Defaul value</t>
  </si>
  <si>
    <t>Renewable energy stove</t>
  </si>
  <si>
    <t>𝐸𝐺𝑝,𝑢𝑠𝑒𝑓𝑢𝑙,𝑦</t>
  </si>
  <si>
    <t>Project device d1</t>
  </si>
  <si>
    <t>Pp,d,y</t>
  </si>
  <si>
    <t xml:space="preserve">= </t>
  </si>
  <si>
    <t>tonne/y</t>
  </si>
  <si>
    <t>NCVp,i</t>
  </si>
  <si>
    <t>𝜂𝑝,𝑑,𝑦</t>
  </si>
  <si>
    <t>Project device d2</t>
  </si>
  <si>
    <t>No emission for renewable sources</t>
  </si>
  <si>
    <t>Fossil fuel stove</t>
  </si>
  <si>
    <t>Weighted average baseline stove efficiency</t>
  </si>
  <si>
    <t>Weighted average project stove efficiency</t>
  </si>
  <si>
    <t>Leakage emission</t>
  </si>
  <si>
    <t>LEy = BE * (1- Leakage emission factor)</t>
  </si>
  <si>
    <t>Leakage emission factor default value</t>
  </si>
  <si>
    <t>%</t>
  </si>
  <si>
    <t>Emission reduction (Progressive cal)</t>
  </si>
  <si>
    <t>Summary of unit sold</t>
  </si>
  <si>
    <t>Batch from</t>
  </si>
  <si>
    <t>to</t>
  </si>
  <si>
    <t>Units sold</t>
  </si>
  <si>
    <t>Cumulative</t>
  </si>
  <si>
    <t>Usage rate</t>
  </si>
  <si>
    <t>BE</t>
  </si>
  <si>
    <t>PE</t>
  </si>
  <si>
    <t>LE</t>
  </si>
  <si>
    <t>ER</t>
  </si>
  <si>
    <t>Total</t>
  </si>
  <si>
    <t>MECD ER tool</t>
  </si>
  <si>
    <r>
      <t>Baseline emissions factor (tCO</t>
    </r>
    <r>
      <rPr>
        <vertAlign val="subscript"/>
        <sz val="11"/>
        <color theme="1"/>
        <rFont val="Verdana"/>
        <family val="2"/>
        <scheme val="minor"/>
      </rPr>
      <t>2</t>
    </r>
    <r>
      <rPr>
        <sz val="11"/>
        <color theme="1"/>
        <rFont val="Verdana"/>
        <family val="2"/>
        <scheme val="minor"/>
      </rPr>
      <t>e per TJ of useful energy)</t>
    </r>
  </si>
  <si>
    <r>
      <t>tCO</t>
    </r>
    <r>
      <rPr>
        <vertAlign val="subscript"/>
        <sz val="11"/>
        <color theme="1"/>
        <rFont val="Verdana"/>
        <family val="2"/>
        <scheme val="minor"/>
      </rPr>
      <t>2e</t>
    </r>
    <r>
      <rPr>
        <sz val="11"/>
        <color theme="1"/>
        <rFont val="Verdana"/>
        <family val="2"/>
        <scheme val="minor"/>
      </rPr>
      <t>/Useful TJ</t>
    </r>
  </si>
  <si>
    <r>
      <t xml:space="preserve">Amount of baseline fuel </t>
    </r>
    <r>
      <rPr>
        <i/>
        <sz val="11"/>
        <color theme="1"/>
        <rFont val="Verdana"/>
        <family val="2"/>
        <scheme val="minor"/>
      </rPr>
      <t>i</t>
    </r>
    <r>
      <rPr>
        <sz val="11"/>
        <color theme="1"/>
        <rFont val="Verdana"/>
        <family val="2"/>
        <scheme val="minor"/>
      </rPr>
      <t xml:space="preserve"> used in device </t>
    </r>
    <r>
      <rPr>
        <i/>
        <sz val="11"/>
        <color theme="1"/>
        <rFont val="Verdana"/>
        <family val="2"/>
        <scheme val="minor"/>
      </rPr>
      <t xml:space="preserve">j </t>
    </r>
    <r>
      <rPr>
        <sz val="11"/>
        <color theme="1"/>
        <rFont val="Verdana"/>
        <family val="2"/>
        <scheme val="minor"/>
      </rPr>
      <t>in the baseline</t>
    </r>
    <r>
      <rPr>
        <i/>
        <sz val="11"/>
        <color theme="1"/>
        <rFont val="Verdana"/>
        <family val="2"/>
        <scheme val="minor"/>
      </rPr>
      <t xml:space="preserve"> </t>
    </r>
    <r>
      <rPr>
        <sz val="11"/>
        <color theme="1"/>
        <rFont val="Verdana"/>
        <family val="2"/>
        <scheme val="minor"/>
      </rPr>
      <t>(tonnes)</t>
    </r>
  </si>
  <si>
    <r>
      <t>EF</t>
    </r>
    <r>
      <rPr>
        <vertAlign val="subscript"/>
        <sz val="11"/>
        <color theme="1"/>
        <rFont val="Verdana"/>
        <family val="2"/>
        <scheme val="minor"/>
      </rPr>
      <t>b,wood,CO2</t>
    </r>
  </si>
  <si>
    <r>
      <t>tCO</t>
    </r>
    <r>
      <rPr>
        <vertAlign val="subscript"/>
        <sz val="11"/>
        <color theme="1"/>
        <rFont val="Verdana"/>
        <family val="2"/>
        <scheme val="minor"/>
      </rPr>
      <t>2</t>
    </r>
    <r>
      <rPr>
        <sz val="11"/>
        <color theme="1"/>
        <rFont val="Verdana"/>
        <family val="2"/>
        <scheme val="minor"/>
      </rPr>
      <t>/TJ</t>
    </r>
  </si>
  <si>
    <r>
      <t>EF</t>
    </r>
    <r>
      <rPr>
        <vertAlign val="subscript"/>
        <sz val="11"/>
        <color theme="1"/>
        <rFont val="Verdana"/>
        <family val="2"/>
        <scheme val="minor"/>
      </rPr>
      <t>b,charcoal,CO2</t>
    </r>
  </si>
  <si>
    <r>
      <t>EF</t>
    </r>
    <r>
      <rPr>
        <vertAlign val="subscript"/>
        <sz val="11"/>
        <color theme="1"/>
        <rFont val="Verdana"/>
        <family val="2"/>
        <scheme val="minor"/>
      </rPr>
      <t>b,LPG,CO2</t>
    </r>
  </si>
  <si>
    <r>
      <t>tCO</t>
    </r>
    <r>
      <rPr>
        <vertAlign val="subscript"/>
        <sz val="11"/>
        <color theme="1"/>
        <rFont val="Verdana"/>
        <family val="2"/>
        <scheme val="minor"/>
      </rPr>
      <t>2e</t>
    </r>
    <r>
      <rPr>
        <sz val="11"/>
        <color theme="1"/>
        <rFont val="Verdana"/>
        <family val="2"/>
        <scheme val="minor"/>
      </rPr>
      <t>/TJ</t>
    </r>
  </si>
  <si>
    <r>
      <t>tCO</t>
    </r>
    <r>
      <rPr>
        <vertAlign val="subscript"/>
        <sz val="11"/>
        <color theme="1"/>
        <rFont val="Verdana"/>
        <family val="2"/>
        <scheme val="minor"/>
      </rPr>
      <t>2</t>
    </r>
    <r>
      <rPr>
        <sz val="11"/>
        <color theme="1"/>
        <rFont val="Verdana"/>
        <family val="2"/>
        <scheme val="minor"/>
      </rPr>
      <t>/tonne fuel</t>
    </r>
  </si>
  <si>
    <r>
      <t>tCO</t>
    </r>
    <r>
      <rPr>
        <vertAlign val="subscript"/>
        <sz val="11"/>
        <color theme="1"/>
        <rFont val="Verdana"/>
        <family val="2"/>
        <scheme val="minor"/>
      </rPr>
      <t>2e</t>
    </r>
    <r>
      <rPr>
        <sz val="11"/>
        <color theme="1"/>
        <rFont val="Verdana"/>
        <family val="2"/>
        <scheme val="minor"/>
      </rPr>
      <t>/tonne fuel</t>
    </r>
  </si>
  <si>
    <r>
      <t xml:space="preserve">The net calorific value of the baseline fuel type </t>
    </r>
    <r>
      <rPr>
        <i/>
        <sz val="11"/>
        <color theme="1"/>
        <rFont val="Verdana"/>
        <family val="2"/>
        <scheme val="minor"/>
      </rPr>
      <t>i</t>
    </r>
    <r>
      <rPr>
        <sz val="11"/>
        <color theme="1"/>
        <rFont val="Verdana"/>
        <family val="2"/>
        <scheme val="minor"/>
      </rPr>
      <t xml:space="preserve"> (TJ/tonne)</t>
    </r>
  </si>
  <si>
    <r>
      <t>NCV</t>
    </r>
    <r>
      <rPr>
        <vertAlign val="subscript"/>
        <sz val="11"/>
        <color theme="1"/>
        <rFont val="Verdana"/>
        <family val="2"/>
        <scheme val="minor"/>
      </rPr>
      <t>b,wood</t>
    </r>
  </si>
  <si>
    <r>
      <t>NCV</t>
    </r>
    <r>
      <rPr>
        <vertAlign val="subscript"/>
        <sz val="11"/>
        <color theme="1"/>
        <rFont val="Verdana"/>
        <family val="2"/>
        <scheme val="minor"/>
      </rPr>
      <t>b,charcoal</t>
    </r>
  </si>
  <si>
    <r>
      <t>NCV</t>
    </r>
    <r>
      <rPr>
        <vertAlign val="subscript"/>
        <sz val="11"/>
        <color theme="1"/>
        <rFont val="Verdana"/>
        <family val="2"/>
        <scheme val="minor"/>
      </rPr>
      <t>b,LPG</t>
    </r>
  </si>
  <si>
    <r>
      <t xml:space="preserve">Efficiency of baseline device </t>
    </r>
    <r>
      <rPr>
        <i/>
        <sz val="11"/>
        <color theme="1"/>
        <rFont val="Verdana"/>
        <family val="2"/>
        <scheme val="minor"/>
      </rPr>
      <t>j</t>
    </r>
    <r>
      <rPr>
        <sz val="11"/>
        <color theme="1"/>
        <rFont val="Verdana"/>
        <family val="2"/>
        <scheme val="minor"/>
      </rPr>
      <t xml:space="preserve"> with fuel i</t>
    </r>
    <r>
      <rPr>
        <i/>
        <sz val="11"/>
        <color theme="1"/>
        <rFont val="Verdana"/>
        <family val="2"/>
        <scheme val="minor"/>
      </rPr>
      <t xml:space="preserve"> </t>
    </r>
    <r>
      <rPr>
        <sz val="11"/>
        <color theme="1"/>
        <rFont val="Verdana"/>
        <family val="2"/>
        <scheme val="minor"/>
      </rPr>
      <t>(fraction)</t>
    </r>
  </si>
  <si>
    <r>
      <t xml:space="preserve">Household </t>
    </r>
    <r>
      <rPr>
        <i/>
        <sz val="11"/>
        <color theme="1"/>
        <rFont val="Verdana"/>
        <family val="2"/>
        <scheme val="minor"/>
      </rPr>
      <t xml:space="preserve">k </t>
    </r>
    <r>
      <rPr>
        <sz val="11"/>
        <color theme="1"/>
        <rFont val="Verdana"/>
        <family val="2"/>
        <scheme val="minor"/>
      </rPr>
      <t>from the target population</t>
    </r>
  </si>
  <si>
    <r>
      <t xml:space="preserve">Baseline devices </t>
    </r>
    <r>
      <rPr>
        <i/>
        <sz val="11"/>
        <color theme="1"/>
        <rFont val="Verdana"/>
        <family val="2"/>
        <scheme val="minor"/>
      </rPr>
      <t>j</t>
    </r>
  </si>
  <si>
    <r>
      <t xml:space="preserve">Baseline fuel </t>
    </r>
    <r>
      <rPr>
        <i/>
        <sz val="11"/>
        <color theme="1"/>
        <rFont val="Verdana"/>
        <family val="2"/>
        <scheme val="minor"/>
      </rPr>
      <t>i</t>
    </r>
  </si>
  <si>
    <r>
      <t>Baseline emissions (tCO</t>
    </r>
    <r>
      <rPr>
        <vertAlign val="subscript"/>
        <sz val="11"/>
        <color theme="1"/>
        <rFont val="Verdana"/>
        <family val="2"/>
        <scheme val="minor"/>
      </rPr>
      <t>2</t>
    </r>
    <r>
      <rPr>
        <sz val="11"/>
        <color theme="1"/>
        <rFont val="Verdana"/>
        <family val="2"/>
        <scheme val="minor"/>
      </rPr>
      <t>e) in the year y</t>
    </r>
  </si>
  <si>
    <r>
      <t xml:space="preserve">Project emissions in year </t>
    </r>
    <r>
      <rPr>
        <i/>
        <sz val="11"/>
        <color theme="1"/>
        <rFont val="Verdana"/>
        <family val="2"/>
        <scheme val="minor"/>
      </rPr>
      <t>y</t>
    </r>
    <r>
      <rPr>
        <sz val="11"/>
        <color theme="1"/>
        <rFont val="Verdana"/>
        <family val="2"/>
        <scheme val="minor"/>
      </rPr>
      <t xml:space="preserve"> (tCO</t>
    </r>
    <r>
      <rPr>
        <vertAlign val="subscript"/>
        <sz val="11"/>
        <color theme="1"/>
        <rFont val="Verdana"/>
        <family val="2"/>
        <scheme val="minor"/>
      </rPr>
      <t>2</t>
    </r>
    <r>
      <rPr>
        <sz val="11"/>
        <color theme="1"/>
        <rFont val="Verdana"/>
        <family val="2"/>
        <scheme val="minor"/>
      </rPr>
      <t>)</t>
    </r>
  </si>
  <si>
    <r>
      <t xml:space="preserve">The amount of electricity used in the project scenario 
by device </t>
    </r>
    <r>
      <rPr>
        <i/>
        <sz val="11"/>
        <color theme="1"/>
        <rFont val="Verdana"/>
        <family val="2"/>
        <scheme val="minor"/>
      </rPr>
      <t>d</t>
    </r>
    <r>
      <rPr>
        <sz val="11"/>
        <color theme="1"/>
        <rFont val="Verdana"/>
        <family val="2"/>
        <scheme val="minor"/>
      </rPr>
      <t xml:space="preserve"> in year </t>
    </r>
    <r>
      <rPr>
        <i/>
        <sz val="11"/>
        <color theme="1"/>
        <rFont val="Verdana"/>
        <family val="2"/>
        <scheme val="minor"/>
      </rPr>
      <t xml:space="preserve">y </t>
    </r>
    <r>
      <rPr>
        <sz val="11"/>
        <color theme="1"/>
        <rFont val="Verdana"/>
        <family val="2"/>
        <scheme val="minor"/>
      </rPr>
      <t>(MWh)</t>
    </r>
  </si>
  <si>
    <r>
      <t>Amount of electricity used in the project scenario by device per</t>
    </r>
    <r>
      <rPr>
        <b/>
        <sz val="11"/>
        <color theme="1"/>
        <rFont val="Verdana"/>
        <family val="2"/>
        <scheme val="minor"/>
      </rPr>
      <t xml:space="preserve"> </t>
    </r>
    <r>
      <rPr>
        <sz val="11"/>
        <color theme="1"/>
        <rFont val="Verdana"/>
        <family val="2"/>
        <scheme val="minor"/>
      </rPr>
      <t>day</t>
    </r>
  </si>
  <si>
    <r>
      <t>Amount of electricity per person per</t>
    </r>
    <r>
      <rPr>
        <b/>
        <sz val="11"/>
        <color theme="1"/>
        <rFont val="Verdana"/>
        <family val="2"/>
        <scheme val="minor"/>
      </rPr>
      <t xml:space="preserve"> </t>
    </r>
    <r>
      <rPr>
        <sz val="11"/>
        <color theme="1"/>
        <rFont val="Verdana"/>
        <family val="2"/>
        <scheme val="minor"/>
      </rPr>
      <t>day</t>
    </r>
  </si>
  <si>
    <r>
      <t xml:space="preserve">The amount of energy used in the project scenario by device </t>
    </r>
    <r>
      <rPr>
        <i/>
        <sz val="11"/>
        <color theme="1"/>
        <rFont val="Verdana"/>
        <family val="2"/>
        <scheme val="minor"/>
      </rPr>
      <t>d</t>
    </r>
    <r>
      <rPr>
        <sz val="11"/>
        <color theme="1"/>
        <rFont val="Verdana"/>
        <family val="2"/>
        <scheme val="minor"/>
      </rPr>
      <t xml:space="preserve"> in year </t>
    </r>
    <r>
      <rPr>
        <i/>
        <sz val="11"/>
        <color theme="1"/>
        <rFont val="Verdana"/>
        <family val="2"/>
        <scheme val="minor"/>
      </rPr>
      <t xml:space="preserve">y </t>
    </r>
    <r>
      <rPr>
        <sz val="11"/>
        <color theme="1"/>
        <rFont val="Verdana"/>
        <family val="2"/>
        <scheme val="minor"/>
      </rPr>
      <t>(MWh)</t>
    </r>
  </si>
  <si>
    <r>
      <t>The emissions factor of the electricity system (tCO</t>
    </r>
    <r>
      <rPr>
        <vertAlign val="subscript"/>
        <sz val="11"/>
        <color theme="1"/>
        <rFont val="Verdana"/>
        <family val="2"/>
        <scheme val="minor"/>
      </rPr>
      <t>2</t>
    </r>
    <r>
      <rPr>
        <sz val="11"/>
        <color theme="1"/>
        <rFont val="Verdana"/>
        <family val="2"/>
        <scheme val="minor"/>
      </rPr>
      <t>e/MWh)</t>
    </r>
  </si>
  <si>
    <r>
      <t xml:space="preserve">Average technical transmission and distribution losses for providing electricity to source </t>
    </r>
    <r>
      <rPr>
        <i/>
        <sz val="11"/>
        <color theme="1"/>
        <rFont val="Verdana"/>
        <family val="2"/>
        <scheme val="minor"/>
      </rPr>
      <t>j</t>
    </r>
    <r>
      <rPr>
        <sz val="11"/>
        <color theme="1"/>
        <rFont val="Verdana"/>
        <family val="2"/>
        <scheme val="minor"/>
      </rPr>
      <t xml:space="preserve"> in year </t>
    </r>
    <r>
      <rPr>
        <i/>
        <sz val="11"/>
        <color theme="1"/>
        <rFont val="Verdana"/>
        <family val="2"/>
        <scheme val="minor"/>
      </rPr>
      <t>y</t>
    </r>
    <r>
      <rPr>
        <sz val="11"/>
        <color theme="1"/>
        <rFont val="Verdana"/>
        <family val="2"/>
        <scheme val="minor"/>
      </rPr>
      <t xml:space="preserve">. </t>
    </r>
  </si>
  <si>
    <r>
      <t xml:space="preserve">The amount of fuel used in the project in by device </t>
    </r>
    <r>
      <rPr>
        <i/>
        <sz val="11"/>
        <color rgb="FF4D4D4C"/>
        <rFont val="Verdana"/>
        <family val="2"/>
        <scheme val="minor"/>
      </rPr>
      <t xml:space="preserve">d </t>
    </r>
    <r>
      <rPr>
        <sz val="11"/>
        <color rgb="FF4D4D4C"/>
        <rFont val="Verdana"/>
        <family val="2"/>
        <scheme val="minor"/>
      </rPr>
      <t xml:space="preserve">in
year </t>
    </r>
    <r>
      <rPr>
        <i/>
        <sz val="11"/>
        <color rgb="FF4D4D4C"/>
        <rFont val="Verdana"/>
        <family val="2"/>
        <scheme val="minor"/>
      </rPr>
      <t>y</t>
    </r>
    <r>
      <rPr>
        <sz val="11"/>
        <color rgb="FF4D4D4C"/>
        <rFont val="Verdana"/>
        <family val="2"/>
        <scheme val="minor"/>
      </rPr>
      <t>, considering cap (mass or volume unit)</t>
    </r>
  </si>
  <si>
    <r>
      <t xml:space="preserve">The net calorific value of the fuel </t>
    </r>
    <r>
      <rPr>
        <i/>
        <sz val="11"/>
        <color rgb="FF4D4D4C"/>
        <rFont val="Verdana"/>
        <family val="2"/>
        <scheme val="minor"/>
      </rPr>
      <t xml:space="preserve">i </t>
    </r>
    <r>
      <rPr>
        <sz val="11"/>
        <color rgb="FF4D4D4C"/>
        <rFont val="Verdana"/>
        <family val="2"/>
        <scheme val="minor"/>
      </rPr>
      <t xml:space="preserve">used in the project
scenario in year </t>
    </r>
    <r>
      <rPr>
        <i/>
        <sz val="11"/>
        <color rgb="FF4D4D4C"/>
        <rFont val="Verdana"/>
        <family val="2"/>
        <scheme val="minor"/>
      </rPr>
      <t>y</t>
    </r>
  </si>
  <si>
    <r>
      <t xml:space="preserve">Energy efficiency of the project device, </t>
    </r>
    <r>
      <rPr>
        <i/>
        <sz val="11"/>
        <color rgb="FF4D4D4C"/>
        <rFont val="Verdana"/>
        <family val="2"/>
        <scheme val="minor"/>
      </rPr>
      <t xml:space="preserve">d </t>
    </r>
    <r>
      <rPr>
        <sz val="11"/>
        <color rgb="FF4D4D4C"/>
        <rFont val="Verdana"/>
        <family val="2"/>
        <scheme val="minor"/>
      </rPr>
      <t xml:space="preserve">in year </t>
    </r>
    <r>
      <rPr>
        <i/>
        <sz val="11"/>
        <color rgb="FF4D4D4C"/>
        <rFont val="Verdana"/>
        <family val="2"/>
        <scheme val="minor"/>
      </rPr>
      <t xml:space="preserve">y
</t>
    </r>
    <r>
      <rPr>
        <sz val="11"/>
        <color rgb="FF4D4D4C"/>
        <rFont val="Verdana"/>
        <family val="2"/>
        <scheme val="minor"/>
      </rPr>
      <t>(fraction)</t>
    </r>
  </si>
  <si>
    <t>Calculated (including fNRB)</t>
  </si>
  <si>
    <t>DISCLAMER: 
This ER/survey tool are designed by GS and in line with the approved methodologies for assisting the Project Developers in conducting the surveys (Baseline Survey, Project Survey, Usage Survey, Water Consumption Field Test, Kitchen Performance Test, Hygiene Survey) and estimating the emission reduction from projects. These tools were updated after the training webinars and the stakeholder consultation process. They are recommended to be used however not mandated and GS is not liable for any discrepancies/errors in the ER calculation.
Given that the public consultation process was closed, GS is still welcoming feedback from PDs during application of these tools. If any issues are identified in the ER calculation sheet, kindly highlight them to Gold Standard by writing at standards@goldstandard.org</t>
  </si>
  <si>
    <t>CO2 Emission factor of the baseline fuel i (tCO2e/tonne)</t>
  </si>
  <si>
    <t>Non-CO2 Emission factor of the baseline fuel i (tCO2e/tonne)</t>
  </si>
  <si>
    <r>
      <t>EF</t>
    </r>
    <r>
      <rPr>
        <vertAlign val="subscript"/>
        <sz val="11"/>
        <color theme="1"/>
        <rFont val="Verdana"/>
        <family val="2"/>
        <scheme val="minor"/>
      </rPr>
      <t>b,wood,CO2</t>
    </r>
    <r>
      <rPr>
        <sz val="11"/>
        <color theme="1"/>
        <rFont val="Verdana"/>
        <family val="2"/>
        <scheme val="minor"/>
      </rPr>
      <t>*fNRB</t>
    </r>
    <r>
      <rPr>
        <vertAlign val="subscript"/>
        <sz val="11"/>
        <color theme="1"/>
        <rFont val="Verdana"/>
        <family val="2"/>
        <scheme val="minor"/>
      </rPr>
      <t>i,y</t>
    </r>
    <r>
      <rPr>
        <sz val="11"/>
        <color theme="1"/>
        <rFont val="Verdana"/>
        <family val="2"/>
        <scheme val="minor"/>
      </rPr>
      <t>*NCV</t>
    </r>
    <r>
      <rPr>
        <vertAlign val="subscript"/>
        <sz val="11"/>
        <color theme="1"/>
        <rFont val="Verdana"/>
        <family val="2"/>
        <scheme val="minor"/>
      </rPr>
      <t>b,wood</t>
    </r>
  </si>
  <si>
    <r>
      <t>EF</t>
    </r>
    <r>
      <rPr>
        <vertAlign val="subscript"/>
        <sz val="11"/>
        <color theme="1"/>
        <rFont val="Verdana"/>
        <family val="2"/>
        <scheme val="minor"/>
      </rPr>
      <t>b,charcoal,CO2</t>
    </r>
    <r>
      <rPr>
        <sz val="11"/>
        <color theme="1"/>
        <rFont val="Verdana"/>
        <family val="2"/>
        <scheme val="minor"/>
      </rPr>
      <t>*fNRB</t>
    </r>
    <r>
      <rPr>
        <vertAlign val="subscript"/>
        <sz val="11"/>
        <color theme="1"/>
        <rFont val="Verdana"/>
        <family val="2"/>
        <scheme val="minor"/>
      </rPr>
      <t>i,y</t>
    </r>
    <r>
      <rPr>
        <sz val="11"/>
        <color theme="1"/>
        <rFont val="Verdana"/>
        <family val="2"/>
        <scheme val="minor"/>
      </rPr>
      <t>*NCV</t>
    </r>
    <r>
      <rPr>
        <vertAlign val="subscript"/>
        <sz val="11"/>
        <color theme="1"/>
        <rFont val="Verdana"/>
        <family val="2"/>
        <scheme val="minor"/>
      </rPr>
      <t>b,charcoal</t>
    </r>
  </si>
  <si>
    <r>
      <t>EF</t>
    </r>
    <r>
      <rPr>
        <vertAlign val="subscript"/>
        <sz val="11"/>
        <color theme="1"/>
        <rFont val="Verdana"/>
        <family val="2"/>
        <scheme val="minor"/>
      </rPr>
      <t>b,LPG,CO2</t>
    </r>
    <r>
      <rPr>
        <sz val="11"/>
        <color theme="1"/>
        <rFont val="Verdana"/>
        <family val="2"/>
        <scheme val="minor"/>
      </rPr>
      <t>*fNRB</t>
    </r>
    <r>
      <rPr>
        <vertAlign val="subscript"/>
        <sz val="11"/>
        <color theme="1"/>
        <rFont val="Verdana"/>
        <family val="2"/>
        <scheme val="minor"/>
      </rPr>
      <t>i,y</t>
    </r>
    <r>
      <rPr>
        <sz val="11"/>
        <color theme="1"/>
        <rFont val="Verdana"/>
        <family val="2"/>
        <scheme val="minor"/>
      </rPr>
      <t>*NCV</t>
    </r>
    <r>
      <rPr>
        <vertAlign val="subscript"/>
        <sz val="11"/>
        <color theme="1"/>
        <rFont val="Verdana"/>
        <family val="2"/>
        <scheme val="minor"/>
      </rPr>
      <t>b,LPG</t>
    </r>
  </si>
  <si>
    <r>
      <t>EF</t>
    </r>
    <r>
      <rPr>
        <vertAlign val="subscript"/>
        <sz val="11"/>
        <color theme="1"/>
        <rFont val="Verdana"/>
        <family val="2"/>
        <scheme val="minor"/>
      </rPr>
      <t>b,wood,non-CO2</t>
    </r>
    <r>
      <rPr>
        <sz val="11"/>
        <color theme="1"/>
        <rFont val="Verdana"/>
        <family val="2"/>
        <scheme val="minor"/>
      </rPr>
      <t>*NCV</t>
    </r>
    <r>
      <rPr>
        <vertAlign val="subscript"/>
        <sz val="11"/>
        <color theme="1"/>
        <rFont val="Verdana"/>
        <family val="2"/>
        <scheme val="minor"/>
      </rPr>
      <t>b,wood</t>
    </r>
  </si>
  <si>
    <r>
      <t>EF</t>
    </r>
    <r>
      <rPr>
        <vertAlign val="subscript"/>
        <sz val="11"/>
        <color theme="1"/>
        <rFont val="Verdana"/>
        <family val="2"/>
        <scheme val="minor"/>
      </rPr>
      <t>b,charcoal,non-CO2</t>
    </r>
    <r>
      <rPr>
        <sz val="11"/>
        <color theme="1"/>
        <rFont val="Verdana"/>
        <family val="2"/>
        <scheme val="minor"/>
      </rPr>
      <t>*NCV</t>
    </r>
    <r>
      <rPr>
        <vertAlign val="subscript"/>
        <sz val="11"/>
        <color theme="1"/>
        <rFont val="Verdana"/>
        <family val="2"/>
        <scheme val="minor"/>
      </rPr>
      <t>b,charcoal</t>
    </r>
  </si>
  <si>
    <r>
      <t>EF</t>
    </r>
    <r>
      <rPr>
        <vertAlign val="subscript"/>
        <sz val="11"/>
        <color theme="1"/>
        <rFont val="Verdana"/>
        <family val="2"/>
        <scheme val="minor"/>
      </rPr>
      <t>b,LPG,non-CO2</t>
    </r>
    <r>
      <rPr>
        <sz val="11"/>
        <color theme="1"/>
        <rFont val="Verdana"/>
        <family val="2"/>
        <scheme val="minor"/>
      </rPr>
      <t>*NCV</t>
    </r>
    <r>
      <rPr>
        <vertAlign val="subscript"/>
        <sz val="11"/>
        <color theme="1"/>
        <rFont val="Verdana"/>
        <family val="2"/>
        <scheme val="minor"/>
      </rPr>
      <t>b,LPG</t>
    </r>
  </si>
  <si>
    <t>Calculated (fNRB = 1)</t>
  </si>
  <si>
    <t>Percentage of fuel type i in the baseline situation (%)</t>
  </si>
  <si>
    <t>Note:</t>
  </si>
  <si>
    <t>Electricity</t>
  </si>
  <si>
    <t>Eq. 6</t>
  </si>
  <si>
    <t>Eq. 8</t>
  </si>
  <si>
    <t>Eq. 7</t>
  </si>
  <si>
    <t>Eq.2</t>
  </si>
  <si>
    <t>Eq.1</t>
  </si>
  <si>
    <t>EF*fNRB*NCV</t>
  </si>
  <si>
    <t>EF*NCV</t>
  </si>
  <si>
    <t>Eq. 4</t>
  </si>
  <si>
    <t>The amount of electricity used in the project scenario by device d in year y (MWh)</t>
  </si>
  <si>
    <t>Specific energy consumption used in the baseline scenario (TJ/test per person)</t>
  </si>
  <si>
    <t>Specific energy consumption used in the project scenario (TJ/test per person)</t>
  </si>
  <si>
    <t>TJ/test per person</t>
  </si>
  <si>
    <t xml:space="preserve">Proportion of cooking of baseline device j (Fraction)	</t>
  </si>
  <si>
    <t>Percentage of HH use Wood stove</t>
  </si>
  <si>
    <t>Percentage of HH use Charcoal stove</t>
  </si>
  <si>
    <t>Percentage of HH use LPG stove</t>
  </si>
  <si>
    <t>Specific energy consumption for device j used in the baseline scenario (TJ/event/test per person)</t>
  </si>
  <si>
    <t>Energy consumption by Wood stove</t>
  </si>
  <si>
    <t>Energy consumption by LPG stove</t>
  </si>
  <si>
    <t>Energy consumption by Charcoal stove</t>
  </si>
  <si>
    <t>MJ/test per person</t>
  </si>
  <si>
    <t>CASE 1</t>
  </si>
  <si>
    <t>Applied Baseline emission</t>
  </si>
  <si>
    <t>CASE 2</t>
  </si>
  <si>
    <r>
      <t xml:space="preserve">Baseline emissions in year </t>
    </r>
    <r>
      <rPr>
        <i/>
        <sz val="11"/>
        <color theme="1"/>
        <rFont val="Verdana"/>
        <family val="2"/>
        <scheme val="minor"/>
      </rPr>
      <t>y</t>
    </r>
    <r>
      <rPr>
        <sz val="11"/>
        <color theme="1"/>
        <rFont val="Verdana"/>
        <family val="2"/>
        <scheme val="minor"/>
      </rPr>
      <t xml:space="preserve"> (tCO</t>
    </r>
    <r>
      <rPr>
        <vertAlign val="subscript"/>
        <sz val="11"/>
        <color theme="1"/>
        <rFont val="Verdana"/>
        <family val="2"/>
        <scheme val="minor"/>
      </rPr>
      <t>2</t>
    </r>
    <r>
      <rPr>
        <sz val="11"/>
        <color theme="1"/>
        <rFont val="Verdana"/>
        <family val="2"/>
        <scheme val="minor"/>
      </rPr>
      <t>)</t>
    </r>
  </si>
  <si>
    <t>Applied methodology CASE</t>
  </si>
  <si>
    <t>CASE 1 for stove that efficiency can be determined; CASE 2 for stove that thermal energy efficiency could not be determined via WBT, e.g., EPC stove</t>
  </si>
  <si>
    <t>1.1</t>
  </si>
  <si>
    <r>
      <t>tCO</t>
    </r>
    <r>
      <rPr>
        <vertAlign val="subscript"/>
        <sz val="11"/>
        <color theme="1"/>
        <rFont val="Verdana"/>
        <family val="2"/>
        <scheme val="minor"/>
      </rPr>
      <t>2e</t>
    </r>
    <r>
      <rPr>
        <sz val="11"/>
        <color theme="1"/>
        <rFont val="Verdana"/>
        <family val="2"/>
        <scheme val="minor"/>
      </rPr>
      <t>/</t>
    </r>
    <r>
      <rPr>
        <strike/>
        <sz val="11"/>
        <color rgb="FFFF0000"/>
        <rFont val="Verdana"/>
        <family val="2"/>
        <scheme val="minor"/>
      </rPr>
      <t>Useful</t>
    </r>
    <r>
      <rPr>
        <sz val="11"/>
        <color theme="1"/>
        <rFont val="Verdana"/>
        <family val="2"/>
        <scheme val="minor"/>
      </rPr>
      <t xml:space="preserve"> TJ</t>
    </r>
  </si>
  <si>
    <r>
      <t>Baseline emissions factor (tCO</t>
    </r>
    <r>
      <rPr>
        <vertAlign val="subscript"/>
        <sz val="11"/>
        <color theme="1"/>
        <rFont val="Verdana"/>
        <family val="2"/>
        <scheme val="minor"/>
      </rPr>
      <t>2</t>
    </r>
    <r>
      <rPr>
        <sz val="11"/>
        <color theme="1"/>
        <rFont val="Verdana"/>
        <family val="2"/>
        <scheme val="minor"/>
      </rPr>
      <t xml:space="preserve">e per TJ of </t>
    </r>
    <r>
      <rPr>
        <b/>
        <sz val="11"/>
        <color rgb="FFFF0000"/>
        <rFont val="Verdana"/>
        <family val="2"/>
        <scheme val="minor"/>
      </rPr>
      <t>ENERGY INPUT</t>
    </r>
    <r>
      <rPr>
        <sz val="11"/>
        <color theme="1"/>
        <rFont val="Verdana"/>
        <family val="2"/>
        <scheme val="minor"/>
      </rPr>
      <t>)</t>
    </r>
  </si>
  <si>
    <t>Pbij values should be used to reflect the mass of fuel used in each device and fuel combination in the baseline for the target  population</t>
  </si>
  <si>
    <t>That could be total tonnes per year of each for the whole region, or could be kg per day per household. In any case, adding up all the values should give the total mass of all fuels used</t>
  </si>
  <si>
    <t>The Perci (case 1) and uj (case 2) should be used to reflect the proportions of cooking done using each fuel or each device type. This may be by proprtions of dishes cooked, or proportions of households using each.</t>
  </si>
  <si>
    <t xml:space="preserve">The values for Perci or uj must be consistent with those for Pbij. eg if have Perc of charcoal use is 100% (and thus Perc of all other fuels is zero), then Pbij must have zero values for fuels other than charcoal. </t>
  </si>
  <si>
    <t xml:space="preserve">Similarly, if Perci has 30% wood, 50% charcoal and 20% LPG, would expect the Pbij valus to reflect similar ratios, BUT Pbij is also influenced by the efficiency of each stove type j, so expect the Pbij value for LPG to be less than 20%/30% of that for wood (as Effi of LPG is higher than that of wood stoves).  </t>
  </si>
  <si>
    <t>Similarly, if have more than on type of stove using wood, expect slightly higher Pbij value for the 3 stone fire than for the ICS</t>
  </si>
  <si>
    <t>The GS calculator shows an example with just three rows of stove and fuel data, for one stove each for wood, charcoal and LPG. But extra rows could be added if for example have some wood used in a three stone fire and some in an ICS</t>
  </si>
  <si>
    <t>Then the Perci for wood should show the overall share of wood (as the sum of shares of 3 stone and ICS) and there should be separate Pbij for each of 3 stone and ICS,  summing to the overall mass of wood used</t>
  </si>
  <si>
    <t>Note these values are the defaults from the Standard for Asia…other values are given for Africa</t>
  </si>
  <si>
    <t>Note this values is the default from the Standard for EPC use in Asia…other values are given for Africa</t>
  </si>
  <si>
    <t>The new version now provides SCp values for Induction as well as EPCs</t>
  </si>
  <si>
    <t xml:space="preserve">Since the MMECD v12. was published, the research providing the defaults has been extended and published in a peer reviewed journal. https://www.mdpi.com/1996-1073/17/13/3318 </t>
  </si>
  <si>
    <t>But SCp must only be used with SCb, to get the ratio of project to baseline energy use: this is specified in the MMECD.</t>
  </si>
  <si>
    <t>The example given in the GS calculator for EGpdy is incorrect. It assumes that SCp represents the energy needed to cook one meal for one person and mutliplies by 3, to represent three meals per day</t>
  </si>
  <si>
    <t>Note from MECS: some corrections are shown below to algebra and to the calculations. Any changes to the original GS MMECD calculator are shown in red</t>
  </si>
  <si>
    <t>Instead, EGpdy has been set here to come from tab PE cell F13</t>
  </si>
  <si>
    <t>Instead, EGpdy is set here to reflect the electricity use expected of the project device, eg 2 kWh per houshehold per day</t>
  </si>
  <si>
    <t>Further guidance from MECS on paremeters</t>
  </si>
  <si>
    <t>Hence charcoal energy avoided</t>
  </si>
  <si>
    <t>TJ/day/HH</t>
  </si>
  <si>
    <t>Tonne/day/HH</t>
  </si>
  <si>
    <t>kg/day/HH</t>
  </si>
  <si>
    <t>Energy ratio (charcoal SCb to eCook SCp)</t>
  </si>
  <si>
    <t>eg if baseline was 100% Charcoal, charcoal use avoided by given eCook use:</t>
  </si>
  <si>
    <t>Charcoal use avoided</t>
  </si>
  <si>
    <t>Additional calculation to show the baseline fuel quantity avoided by use of the project device…as a sanity check on EGp value</t>
  </si>
  <si>
    <t xml:space="preserve">The EF values shown here are the MMECD defaults. </t>
  </si>
  <si>
    <t>(As note above)</t>
  </si>
  <si>
    <t>Note that for charcoal, new evidence suggests that the production of charcoal can be less efficient than previously assumed</t>
  </si>
  <si>
    <t>This could be basis of an argument to use the MMECD's higher cap figure for charcoal EF</t>
  </si>
  <si>
    <t>Note that Case 2 doesn’t make any use of the efficiency parameter, using SCb and SCp instead</t>
  </si>
  <si>
    <t>Note from MECS: some corrections are shown below to the calculations. Any changes to the original GS MMECD calculator are shown in red</t>
  </si>
  <si>
    <t xml:space="preserve">Note: this version of the tool has some revisions and additional guidance notes added by MECS, as part of a package of materials for a methodology for article 6 projects </t>
  </si>
  <si>
    <t>The absolute values don't matter; it is the ratios between them, which should reflect how much of each fuel is needed for cooking and the share of each fuel in the target poplulation</t>
  </si>
  <si>
    <t>The apprpoach used in this example is the default values for fuel use per household/day, multiplied by the Perci or ui, for shares of each 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</si>
</sst>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0.000"/>
    <numFmt numFmtId="166" formatCode="_-* #,##0.0000_-;\-* #,##0.0000_-;_-* &quot;-&quot;??_-;_-@_-"/>
    <numFmt numFmtId="167" formatCode="_(* #,##0_);_(* \(#,##0\);_(* &quot;-&quot;??_);_(@_)"/>
    <numFmt numFmtId="168" formatCode="[$]dd/mm/yyyy;@" x16r2:formatCode16="[$-en-001,1]dd/mm/yyyy;@"/>
    <numFmt numFmtId="169" formatCode="#,##0.000"/>
    <numFmt numFmtId="170" formatCode="#,##0.0000"/>
    <numFmt numFmtId="171" formatCode="#,##0.000000"/>
    <numFmt numFmtId="172" formatCode="_(* #,##0.000000_);_(* \(#,##0.000000\);_(* &quot;-&quot;??_);_(@_)"/>
    <numFmt numFmtId="173" formatCode="_-* #,##0.000000_-;\-* #,##0.000000_-;_-* &quot;-&quot;??_-;_-@_-"/>
    <numFmt numFmtId="174" formatCode="_-* #,##0.0000000_-;\-* #,##0.0000000_-;_-* &quot;-&quot;??_-;_-@_-"/>
    <numFmt numFmtId="177" formatCode="_-* #,##0.0_-;\-* #,##0.0_-;_-* &quot;-&quot;??_-;_-@_-"/>
  </numFmts>
  <fonts count="42">
    <font>
      <sz val="11"/>
      <color theme="1"/>
      <name val="Arial"/>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Arial"/>
      <family val="2"/>
    </font>
    <font>
      <b/>
      <sz val="11"/>
      <color theme="0"/>
      <name val="Verdana"/>
      <family val="2"/>
      <scheme val="minor"/>
    </font>
    <font>
      <b/>
      <sz val="11"/>
      <color theme="1"/>
      <name val="Verdana"/>
      <family val="2"/>
      <scheme val="minor"/>
    </font>
    <font>
      <sz val="22"/>
      <color theme="1"/>
      <name val="Verdana"/>
      <family val="2"/>
      <scheme val="minor"/>
    </font>
    <font>
      <b/>
      <sz val="11"/>
      <color rgb="FFFFFF00"/>
      <name val="Verdana"/>
      <family val="2"/>
      <scheme val="minor"/>
    </font>
    <font>
      <b/>
      <u/>
      <sz val="11"/>
      <color theme="1"/>
      <name val="Verdana"/>
      <family val="2"/>
      <scheme val="minor"/>
    </font>
    <font>
      <b/>
      <sz val="12"/>
      <color theme="0"/>
      <name val="Calibri"/>
      <family val="2"/>
    </font>
    <font>
      <b/>
      <sz val="12"/>
      <color indexed="8"/>
      <name val="Calibri"/>
      <family val="2"/>
    </font>
    <font>
      <sz val="12"/>
      <color indexed="8"/>
      <name val="Calibri"/>
      <family val="2"/>
    </font>
    <font>
      <sz val="12"/>
      <name val="Calibri"/>
      <family val="2"/>
    </font>
    <font>
      <b/>
      <sz val="11"/>
      <name val="Verdana"/>
      <family val="2"/>
      <scheme val="minor"/>
    </font>
    <font>
      <b/>
      <sz val="12"/>
      <color theme="0"/>
      <name val="Verdana"/>
      <family val="2"/>
      <scheme val="minor"/>
    </font>
    <font>
      <b/>
      <i/>
      <sz val="11"/>
      <color rgb="FFFF0000"/>
      <name val="Verdana"/>
      <family val="2"/>
      <scheme val="minor"/>
    </font>
    <font>
      <b/>
      <sz val="14"/>
      <color theme="0"/>
      <name val="Arial"/>
      <family val="2"/>
    </font>
    <font>
      <b/>
      <sz val="14"/>
      <color theme="0"/>
      <name val="Verdana"/>
      <family val="2"/>
      <scheme val="minor"/>
    </font>
    <font>
      <sz val="11"/>
      <color theme="0"/>
      <name val="Verdana"/>
      <family val="2"/>
      <scheme val="minor"/>
    </font>
    <font>
      <b/>
      <sz val="18"/>
      <color theme="4"/>
      <name val="Verdana"/>
      <family val="2"/>
      <scheme val="minor"/>
    </font>
    <font>
      <sz val="14"/>
      <color theme="1"/>
      <name val="Verdana (Body)"/>
    </font>
    <font>
      <i/>
      <sz val="11"/>
      <color theme="1"/>
      <name val="Verdana"/>
      <family val="2"/>
      <scheme val="minor"/>
    </font>
    <font>
      <vertAlign val="subscript"/>
      <sz val="11"/>
      <color theme="1"/>
      <name val="Verdana"/>
      <family val="2"/>
      <scheme val="minor"/>
    </font>
    <font>
      <b/>
      <sz val="12"/>
      <color theme="1"/>
      <name val="Verdana"/>
      <family val="2"/>
      <scheme val="minor"/>
    </font>
    <font>
      <sz val="10"/>
      <color rgb="FF4D4D4C"/>
      <name val="Verdana"/>
      <family val="2"/>
      <scheme val="minor"/>
    </font>
    <font>
      <i/>
      <sz val="11"/>
      <color rgb="FF4D4D4C"/>
      <name val="Verdana"/>
      <family val="2"/>
      <scheme val="minor"/>
    </font>
    <font>
      <sz val="11"/>
      <color rgb="FF4D4D4C"/>
      <name val="Verdana"/>
      <family val="2"/>
      <scheme val="minor"/>
    </font>
    <font>
      <sz val="12"/>
      <color theme="1"/>
      <name val="Verdana"/>
      <family val="2"/>
      <scheme val="minor"/>
    </font>
    <font>
      <i/>
      <sz val="10"/>
      <color rgb="FF44546A"/>
      <name val="Verdana"/>
      <family val="2"/>
      <scheme val="minor"/>
    </font>
    <font>
      <sz val="8.5"/>
      <color theme="1"/>
      <name val="Verdana"/>
      <family val="2"/>
    </font>
    <font>
      <sz val="11"/>
      <color rgb="FF4D4D4C"/>
      <name val="Verdana"/>
      <family val="2"/>
    </font>
    <font>
      <sz val="8"/>
      <color rgb="FF4D4D4C"/>
      <name val="Verdana"/>
      <family val="2"/>
    </font>
    <font>
      <sz val="12"/>
      <color rgb="FF515151"/>
      <name val="Verdana"/>
      <family val="2"/>
    </font>
    <font>
      <sz val="11"/>
      <color rgb="FFFF0000"/>
      <name val="Verdana"/>
      <family val="2"/>
      <scheme val="minor"/>
    </font>
    <font>
      <strike/>
      <sz val="11"/>
      <color rgb="FFFF0000"/>
      <name val="Verdana"/>
      <family val="2"/>
      <scheme val="minor"/>
    </font>
    <font>
      <b/>
      <sz val="11"/>
      <color rgb="FFFF0000"/>
      <name val="Verdana"/>
      <family val="2"/>
      <scheme val="minor"/>
    </font>
    <font>
      <b/>
      <sz val="14"/>
      <color rgb="FFFF0000"/>
      <name val="Arial"/>
      <family val="2"/>
    </font>
    <font>
      <b/>
      <sz val="14"/>
      <color rgb="FFFF0000"/>
      <name val="Verdana"/>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A5D7D5"/>
        <bgColor indexed="64"/>
      </patternFill>
    </fill>
    <fill>
      <patternFill patternType="solid">
        <fgColor rgb="FFC9E7E6"/>
        <bgColor indexed="64"/>
      </patternFill>
    </fill>
    <fill>
      <patternFill patternType="solid">
        <fgColor theme="8" tint="0.39997558519241921"/>
        <bgColor indexed="64"/>
      </patternFill>
    </fill>
    <fill>
      <patternFill patternType="solid">
        <fgColor rgb="FF00B9BD"/>
        <bgColor indexed="64"/>
      </patternFill>
    </fill>
    <fill>
      <patternFill patternType="solid">
        <fgColor theme="4"/>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rgb="FF006E7A"/>
      </top>
      <bottom style="thin">
        <color rgb="FF006E7A"/>
      </bottom>
      <diagonal/>
    </border>
    <border>
      <left style="medium">
        <color indexed="64"/>
      </left>
      <right/>
      <top/>
      <bottom style="thin">
        <color indexed="64"/>
      </bottom>
      <diagonal/>
    </border>
  </borders>
  <cellStyleXfs count="4">
    <xf numFmtId="0" fontId="0" fillId="0" borderId="0"/>
    <xf numFmtId="164" fontId="7" fillId="0" borderId="0" applyFont="0" applyFill="0" applyBorder="0" applyAlignment="0" applyProtection="0"/>
    <xf numFmtId="0" fontId="6" fillId="0" borderId="0"/>
    <xf numFmtId="0" fontId="5" fillId="0" borderId="0"/>
  </cellStyleXfs>
  <cellXfs count="163">
    <xf numFmtId="0" fontId="0" fillId="0" borderId="0" xfId="0"/>
    <xf numFmtId="0" fontId="6" fillId="0" borderId="0" xfId="2" applyAlignment="1">
      <alignment vertical="center"/>
    </xf>
    <xf numFmtId="0" fontId="10" fillId="0" borderId="0" xfId="2" applyFont="1" applyAlignment="1">
      <alignment vertical="center"/>
    </xf>
    <xf numFmtId="0" fontId="9" fillId="5" borderId="0" xfId="2" applyFont="1" applyFill="1" applyAlignment="1">
      <alignment horizontal="center" vertical="center"/>
    </xf>
    <xf numFmtId="0" fontId="9" fillId="5" borderId="0" xfId="2" applyFont="1" applyFill="1" applyAlignment="1">
      <alignment horizontal="left" vertical="center"/>
    </xf>
    <xf numFmtId="0" fontId="9" fillId="6" borderId="0" xfId="2" applyFont="1" applyFill="1" applyAlignment="1">
      <alignment horizontal="center" vertical="center"/>
    </xf>
    <xf numFmtId="0" fontId="9" fillId="6" borderId="0" xfId="2" applyFont="1" applyFill="1" applyAlignment="1">
      <alignment horizontal="left" vertical="center"/>
    </xf>
    <xf numFmtId="0" fontId="9" fillId="5" borderId="0" xfId="2" quotePrefix="1" applyFont="1" applyFill="1" applyAlignment="1">
      <alignment horizontal="left" vertical="center"/>
    </xf>
    <xf numFmtId="14" fontId="9" fillId="6" borderId="0" xfId="2" applyNumberFormat="1" applyFont="1" applyFill="1" applyAlignment="1">
      <alignment horizontal="left" vertical="center"/>
    </xf>
    <xf numFmtId="0" fontId="16" fillId="6" borderId="0" xfId="2" applyFont="1" applyFill="1" applyAlignment="1">
      <alignment vertical="center"/>
    </xf>
    <xf numFmtId="0" fontId="17" fillId="6" borderId="0" xfId="2" applyFont="1" applyFill="1" applyAlignment="1">
      <alignment horizontal="center" vertical="center"/>
    </xf>
    <xf numFmtId="0" fontId="16" fillId="5" borderId="0" xfId="2" applyFont="1" applyFill="1" applyAlignment="1">
      <alignment vertical="center"/>
    </xf>
    <xf numFmtId="0" fontId="17" fillId="5" borderId="0" xfId="2" applyFont="1" applyFill="1" applyAlignment="1">
      <alignment horizontal="center" vertical="center"/>
    </xf>
    <xf numFmtId="168" fontId="16" fillId="5" borderId="0" xfId="2" applyNumberFormat="1" applyFont="1" applyFill="1" applyAlignment="1">
      <alignment horizontal="left" vertical="center"/>
    </xf>
    <xf numFmtId="0" fontId="6" fillId="0" borderId="0" xfId="2" applyAlignment="1">
      <alignment horizontal="center" vertical="center"/>
    </xf>
    <xf numFmtId="0" fontId="6" fillId="5" borderId="0" xfId="2" applyFill="1" applyAlignment="1">
      <alignment horizontal="center" vertical="center"/>
    </xf>
    <xf numFmtId="14" fontId="6" fillId="5" borderId="0" xfId="2" applyNumberFormat="1" applyFill="1" applyAlignment="1">
      <alignment horizontal="center" vertical="center"/>
    </xf>
    <xf numFmtId="3" fontId="6" fillId="5" borderId="0" xfId="2" applyNumberFormat="1" applyFill="1" applyAlignment="1">
      <alignment horizontal="center" vertical="center"/>
    </xf>
    <xf numFmtId="0" fontId="6" fillId="6" borderId="0" xfId="2" applyFill="1" applyAlignment="1">
      <alignment horizontal="center" vertical="center"/>
    </xf>
    <xf numFmtId="14" fontId="6" fillId="6" borderId="0" xfId="2" applyNumberFormat="1" applyFill="1" applyAlignment="1">
      <alignment horizontal="center" vertical="center"/>
    </xf>
    <xf numFmtId="3" fontId="6" fillId="6" borderId="0" xfId="2" applyNumberFormat="1" applyFill="1" applyAlignment="1">
      <alignment horizontal="center" vertical="center"/>
    </xf>
    <xf numFmtId="14" fontId="6" fillId="0" borderId="0" xfId="2" applyNumberFormat="1" applyAlignment="1">
      <alignment vertical="center"/>
    </xf>
    <xf numFmtId="0" fontId="5" fillId="0" borderId="0" xfId="3" applyAlignment="1">
      <alignment vertical="center"/>
    </xf>
    <xf numFmtId="0" fontId="21" fillId="8" borderId="2" xfId="2" applyFont="1" applyFill="1" applyBorder="1" applyAlignment="1">
      <alignment horizontal="center" vertical="center"/>
    </xf>
    <xf numFmtId="0" fontId="20" fillId="8" borderId="3" xfId="0" applyFont="1" applyFill="1" applyBorder="1" applyAlignment="1">
      <alignment vertical="center"/>
    </xf>
    <xf numFmtId="0" fontId="13" fillId="8" borderId="0" xfId="2" applyFont="1" applyFill="1" applyAlignment="1">
      <alignment vertical="center"/>
    </xf>
    <xf numFmtId="0" fontId="14" fillId="8" borderId="0" xfId="2" applyFont="1" applyFill="1" applyAlignment="1">
      <alignment vertical="center"/>
    </xf>
    <xf numFmtId="0" fontId="15" fillId="8" borderId="0" xfId="2" applyFont="1" applyFill="1" applyAlignment="1">
      <alignment vertical="center"/>
    </xf>
    <xf numFmtId="0" fontId="9" fillId="8" borderId="0" xfId="2" applyFont="1" applyFill="1" applyAlignment="1">
      <alignment horizontal="center" vertical="center"/>
    </xf>
    <xf numFmtId="0" fontId="18" fillId="8" borderId="0" xfId="2" applyFont="1" applyFill="1" applyAlignment="1">
      <alignment vertical="center"/>
    </xf>
    <xf numFmtId="0" fontId="0" fillId="0" borderId="0" xfId="0" applyAlignment="1">
      <alignment vertical="center"/>
    </xf>
    <xf numFmtId="0" fontId="23" fillId="0" borderId="0" xfId="0" applyFont="1" applyAlignment="1">
      <alignment vertical="center"/>
    </xf>
    <xf numFmtId="0" fontId="24" fillId="0" borderId="0" xfId="0" applyFont="1" applyAlignment="1">
      <alignment vertical="center"/>
    </xf>
    <xf numFmtId="0" fontId="8" fillId="9" borderId="0" xfId="2" applyFont="1" applyFill="1" applyAlignment="1">
      <alignment horizontal="center" vertical="center"/>
    </xf>
    <xf numFmtId="0" fontId="8" fillId="9" borderId="0" xfId="2" applyFont="1" applyFill="1" applyAlignment="1">
      <alignment horizontal="center" vertical="center" wrapText="1"/>
    </xf>
    <xf numFmtId="0" fontId="8" fillId="9" borderId="0" xfId="2" applyFont="1" applyFill="1" applyAlignment="1">
      <alignment vertical="center"/>
    </xf>
    <xf numFmtId="3" fontId="8" fillId="9" borderId="0" xfId="2" applyNumberFormat="1" applyFont="1" applyFill="1" applyAlignment="1">
      <alignment horizontal="center" vertical="center"/>
    </xf>
    <xf numFmtId="0" fontId="8" fillId="8" borderId="0" xfId="0" applyFont="1" applyFill="1" applyAlignment="1">
      <alignment vertical="center"/>
    </xf>
    <xf numFmtId="0" fontId="22" fillId="0" borderId="0" xfId="0" applyFont="1"/>
    <xf numFmtId="0" fontId="4" fillId="4" borderId="0" xfId="0" applyFont="1" applyFill="1" applyAlignment="1">
      <alignment vertical="center"/>
    </xf>
    <xf numFmtId="0" fontId="4" fillId="0" borderId="0" xfId="0" applyFont="1"/>
    <xf numFmtId="0" fontId="4" fillId="0" borderId="0" xfId="0" applyFont="1" applyAlignment="1">
      <alignment vertical="center"/>
    </xf>
    <xf numFmtId="0" fontId="4" fillId="3" borderId="0" xfId="0" applyFont="1" applyFill="1" applyAlignment="1">
      <alignment vertical="center"/>
    </xf>
    <xf numFmtId="0" fontId="4" fillId="0" borderId="0" xfId="0" applyFont="1" applyAlignment="1">
      <alignment vertical="center" wrapText="1"/>
    </xf>
    <xf numFmtId="0" fontId="25" fillId="0" borderId="0" xfId="0" applyFont="1" applyAlignment="1">
      <alignment vertical="center" wrapText="1"/>
    </xf>
    <xf numFmtId="164" fontId="4" fillId="0" borderId="0" xfId="0" applyNumberFormat="1" applyFont="1" applyAlignment="1">
      <alignment vertical="center"/>
    </xf>
    <xf numFmtId="164" fontId="9" fillId="10" borderId="0" xfId="0" applyNumberFormat="1" applyFont="1" applyFill="1" applyAlignment="1">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0" borderId="0" xfId="0" applyFont="1" applyAlignment="1">
      <alignment horizontal="right" vertical="center"/>
    </xf>
    <xf numFmtId="164" fontId="4" fillId="10" borderId="0" xfId="1" applyFont="1" applyFill="1" applyBorder="1" applyAlignment="1">
      <alignment horizontal="right" vertical="center" wrapText="1"/>
    </xf>
    <xf numFmtId="0" fontId="4" fillId="3" borderId="0" xfId="0" applyFont="1" applyFill="1" applyAlignment="1">
      <alignment vertical="center" wrapText="1"/>
    </xf>
    <xf numFmtId="164" fontId="4" fillId="3" borderId="0" xfId="1" applyFont="1" applyFill="1" applyBorder="1" applyAlignment="1">
      <alignment horizontal="right" vertical="center" wrapText="1"/>
    </xf>
    <xf numFmtId="0" fontId="4" fillId="3" borderId="0" xfId="0" applyFont="1" applyFill="1" applyAlignment="1">
      <alignment horizontal="justify" vertical="center" wrapText="1"/>
    </xf>
    <xf numFmtId="0" fontId="25" fillId="0" borderId="0" xfId="0" applyFont="1" applyAlignment="1">
      <alignment vertical="center"/>
    </xf>
    <xf numFmtId="165" fontId="9" fillId="10" borderId="0" xfId="0" applyNumberFormat="1" applyFont="1" applyFill="1" applyAlignment="1">
      <alignment vertical="center"/>
    </xf>
    <xf numFmtId="0" fontId="9" fillId="0" borderId="0" xfId="0" applyFont="1" applyAlignment="1">
      <alignment vertical="center"/>
    </xf>
    <xf numFmtId="0" fontId="4" fillId="10" borderId="0" xfId="0" applyFont="1" applyFill="1" applyAlignment="1">
      <alignment vertical="center"/>
    </xf>
    <xf numFmtId="164" fontId="4" fillId="10" borderId="0" xfId="0" applyNumberFormat="1" applyFont="1" applyFill="1" applyAlignment="1">
      <alignment vertical="center"/>
    </xf>
    <xf numFmtId="0" fontId="9" fillId="7" borderId="0" xfId="0" applyFont="1" applyFill="1"/>
    <xf numFmtId="0" fontId="27" fillId="7" borderId="0" xfId="0" applyFont="1" applyFill="1"/>
    <xf numFmtId="0" fontId="4" fillId="7" borderId="0" xfId="0" applyFont="1" applyFill="1"/>
    <xf numFmtId="0" fontId="4" fillId="0" borderId="0" xfId="0" applyFont="1" applyAlignment="1">
      <alignment horizontal="left" vertical="center"/>
    </xf>
    <xf numFmtId="0" fontId="4" fillId="0" borderId="0" xfId="0" applyFont="1" applyAlignment="1">
      <alignment horizontal="center" vertical="center" wrapText="1"/>
    </xf>
    <xf numFmtId="0" fontId="28" fillId="0" borderId="0" xfId="0" applyFont="1" applyAlignment="1">
      <alignment vertical="center"/>
    </xf>
    <xf numFmtId="0" fontId="2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0" fontId="9" fillId="4" borderId="0" xfId="0" applyFont="1" applyFill="1"/>
    <xf numFmtId="0" fontId="4" fillId="4" borderId="0" xfId="0" applyFont="1" applyFill="1"/>
    <xf numFmtId="0" fontId="4" fillId="4" borderId="0" xfId="0" applyFont="1" applyFill="1" applyAlignment="1">
      <alignment horizontal="center"/>
    </xf>
    <xf numFmtId="0" fontId="9" fillId="3" borderId="0" xfId="0" applyFont="1" applyFill="1"/>
    <xf numFmtId="0" fontId="4" fillId="3" borderId="0" xfId="0" applyFont="1" applyFill="1"/>
    <xf numFmtId="0" fontId="4" fillId="3" borderId="0" xfId="0" applyFont="1" applyFill="1" applyAlignment="1">
      <alignment horizontal="center" vertical="center"/>
    </xf>
    <xf numFmtId="0" fontId="22" fillId="8" borderId="0" xfId="0" applyFont="1" applyFill="1"/>
    <xf numFmtId="0" fontId="22" fillId="8" borderId="0" xfId="0" applyFont="1" applyFill="1" applyAlignment="1">
      <alignment horizontal="center"/>
    </xf>
    <xf numFmtId="0" fontId="31" fillId="3" borderId="0" xfId="0" applyFont="1" applyFill="1" applyAlignment="1">
      <alignment vertical="center"/>
    </xf>
    <xf numFmtId="0" fontId="22" fillId="8" borderId="1" xfId="0" applyFont="1" applyFill="1" applyBorder="1"/>
    <xf numFmtId="0" fontId="22" fillId="8" borderId="1" xfId="0" applyFont="1" applyFill="1" applyBorder="1" applyAlignment="1">
      <alignment horizontal="center"/>
    </xf>
    <xf numFmtId="14" fontId="4" fillId="6" borderId="1" xfId="1" applyNumberFormat="1" applyFont="1" applyFill="1" applyBorder="1" applyAlignment="1">
      <alignment horizontal="center" vertical="center"/>
    </xf>
    <xf numFmtId="14" fontId="4" fillId="0" borderId="0" xfId="0" applyNumberFormat="1" applyFont="1"/>
    <xf numFmtId="0" fontId="9" fillId="3" borderId="0" xfId="0" applyFont="1" applyFill="1" applyAlignment="1">
      <alignment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164" fontId="4" fillId="3" borderId="0" xfId="0" applyNumberFormat="1" applyFont="1" applyFill="1" applyAlignment="1">
      <alignment horizontal="center" vertical="center" wrapText="1"/>
    </xf>
    <xf numFmtId="9" fontId="4" fillId="3" borderId="0" xfId="0" applyNumberFormat="1" applyFont="1" applyFill="1" applyAlignment="1">
      <alignment horizontal="center" vertical="center" wrapText="1"/>
    </xf>
    <xf numFmtId="0" fontId="32" fillId="3" borderId="0" xfId="0" applyFont="1" applyFill="1" applyAlignment="1">
      <alignment horizontal="center" vertical="center"/>
    </xf>
    <xf numFmtId="165" fontId="4" fillId="3" borderId="0" xfId="0" applyNumberFormat="1" applyFont="1" applyFill="1"/>
    <xf numFmtId="0" fontId="27" fillId="0" borderId="0" xfId="0" applyFont="1" applyAlignment="1">
      <alignment vertical="center"/>
    </xf>
    <xf numFmtId="0" fontId="31" fillId="0" borderId="0" xfId="0" applyFont="1" applyAlignment="1">
      <alignment vertical="center"/>
    </xf>
    <xf numFmtId="0" fontId="9"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xf>
    <xf numFmtId="170" fontId="9" fillId="10" borderId="0" xfId="0" applyNumberFormat="1" applyFont="1" applyFill="1" applyAlignment="1">
      <alignment vertical="center"/>
    </xf>
    <xf numFmtId="171" fontId="4" fillId="10" borderId="0" xfId="0" applyNumberFormat="1" applyFont="1" applyFill="1" applyAlignment="1">
      <alignment vertical="center"/>
    </xf>
    <xf numFmtId="4" fontId="4" fillId="10" borderId="0" xfId="0" applyNumberFormat="1" applyFont="1" applyFill="1" applyAlignment="1">
      <alignment vertical="center" wrapText="1"/>
    </xf>
    <xf numFmtId="9" fontId="4" fillId="10" borderId="0" xfId="0" applyNumberFormat="1" applyFont="1" applyFill="1" applyAlignment="1">
      <alignment vertical="center"/>
    </xf>
    <xf numFmtId="4" fontId="4" fillId="10" borderId="0" xfId="0" applyNumberFormat="1" applyFont="1" applyFill="1" applyAlignment="1">
      <alignment vertical="center"/>
    </xf>
    <xf numFmtId="4" fontId="9" fillId="10" borderId="0" xfId="0" applyNumberFormat="1" applyFont="1" applyFill="1" applyAlignment="1">
      <alignment vertical="center"/>
    </xf>
    <xf numFmtId="4" fontId="4" fillId="10" borderId="0" xfId="0" applyNumberFormat="1" applyFont="1" applyFill="1" applyAlignment="1">
      <alignment horizontal="center"/>
    </xf>
    <xf numFmtId="4" fontId="4" fillId="10" borderId="0" xfId="1" applyNumberFormat="1" applyFont="1" applyFill="1" applyAlignment="1">
      <alignment horizontal="center"/>
    </xf>
    <xf numFmtId="167" fontId="4" fillId="10" borderId="0" xfId="0" applyNumberFormat="1" applyFont="1" applyFill="1"/>
    <xf numFmtId="15" fontId="22" fillId="9" borderId="1" xfId="0" applyNumberFormat="1" applyFont="1" applyFill="1" applyBorder="1"/>
    <xf numFmtId="0" fontId="22" fillId="9" borderId="0" xfId="0" applyFont="1" applyFill="1"/>
    <xf numFmtId="167" fontId="22" fillId="9" borderId="0" xfId="0" applyNumberFormat="1" applyFont="1" applyFill="1"/>
    <xf numFmtId="0" fontId="22" fillId="9" borderId="0" xfId="0" applyFont="1" applyFill="1" applyAlignment="1">
      <alignment horizontal="center"/>
    </xf>
    <xf numFmtId="0" fontId="16" fillId="2" borderId="0" xfId="2" applyFont="1" applyFill="1" applyAlignment="1" applyProtection="1">
      <alignment horizontal="left" vertical="center"/>
      <protection locked="0"/>
    </xf>
    <xf numFmtId="0" fontId="16" fillId="2" borderId="0" xfId="2" applyFont="1" applyFill="1" applyAlignment="1" applyProtection="1">
      <alignment vertical="center"/>
      <protection locked="0"/>
    </xf>
    <xf numFmtId="14" fontId="16" fillId="2" borderId="0" xfId="2" applyNumberFormat="1" applyFont="1" applyFill="1" applyAlignment="1" applyProtection="1">
      <alignment horizontal="left" vertical="center"/>
      <protection locked="0"/>
    </xf>
    <xf numFmtId="0" fontId="4" fillId="2" borderId="0" xfId="0" applyFont="1" applyFill="1" applyAlignment="1" applyProtection="1">
      <alignment vertical="center"/>
      <protection locked="0"/>
    </xf>
    <xf numFmtId="164" fontId="4" fillId="2" borderId="0" xfId="1" applyFont="1" applyFill="1" applyBorder="1" applyAlignment="1" applyProtection="1">
      <alignment horizontal="right" vertical="center" wrapText="1"/>
      <protection locked="0"/>
    </xf>
    <xf numFmtId="166" fontId="4" fillId="2" borderId="0" xfId="1" applyNumberFormat="1" applyFont="1" applyFill="1" applyBorder="1" applyAlignment="1" applyProtection="1">
      <alignment horizontal="right" vertical="center" wrapText="1"/>
      <protection locked="0"/>
    </xf>
    <xf numFmtId="9" fontId="4" fillId="2" borderId="0" xfId="0" applyNumberFormat="1" applyFont="1" applyFill="1" applyAlignment="1" applyProtection="1">
      <alignment vertical="center"/>
      <protection locked="0"/>
    </xf>
    <xf numFmtId="0" fontId="4" fillId="2" borderId="0" xfId="0" applyFont="1" applyFill="1" applyAlignment="1" applyProtection="1">
      <alignment vertical="center" wrapText="1"/>
      <protection locked="0"/>
    </xf>
    <xf numFmtId="9" fontId="4" fillId="2" borderId="0" xfId="0" applyNumberFormat="1" applyFont="1" applyFill="1" applyAlignment="1" applyProtection="1">
      <alignment vertical="center" wrapText="1"/>
      <protection locked="0"/>
    </xf>
    <xf numFmtId="169" fontId="4" fillId="2" borderId="0" xfId="0" applyNumberFormat="1" applyFont="1" applyFill="1" applyAlignment="1" applyProtection="1">
      <alignment vertical="center" wrapText="1"/>
      <protection locked="0"/>
    </xf>
    <xf numFmtId="167" fontId="4" fillId="2" borderId="1" xfId="1" applyNumberFormat="1" applyFont="1" applyFill="1" applyBorder="1" applyProtection="1">
      <protection locked="0"/>
    </xf>
    <xf numFmtId="9" fontId="4" fillId="2" borderId="0" xfId="0" applyNumberFormat="1" applyFont="1" applyFill="1" applyProtection="1">
      <protection locked="0"/>
    </xf>
    <xf numFmtId="0" fontId="33"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3" borderId="0" xfId="0" applyFont="1" applyFill="1" applyAlignment="1">
      <alignment horizontal="left" vertical="center"/>
    </xf>
    <xf numFmtId="0" fontId="35" fillId="0" borderId="0" xfId="0" applyFont="1" applyAlignment="1">
      <alignment vertical="center"/>
    </xf>
    <xf numFmtId="0" fontId="34" fillId="0" borderId="0" xfId="0" applyFont="1" applyAlignment="1">
      <alignment vertical="top" wrapText="1"/>
    </xf>
    <xf numFmtId="0" fontId="34" fillId="0" borderId="0" xfId="0" applyFont="1" applyAlignment="1">
      <alignment vertical="center" wrapText="1"/>
    </xf>
    <xf numFmtId="0" fontId="36" fillId="0" borderId="0" xfId="0" applyFont="1" applyAlignment="1">
      <alignment vertical="top" wrapText="1"/>
    </xf>
    <xf numFmtId="4" fontId="4" fillId="2" borderId="0" xfId="0" applyNumberFormat="1" applyFont="1" applyFill="1" applyAlignment="1" applyProtection="1">
      <alignment vertical="center"/>
      <protection locked="0"/>
    </xf>
    <xf numFmtId="0" fontId="3" fillId="0" borderId="0" xfId="0" applyFont="1" applyAlignment="1">
      <alignment vertical="center" wrapText="1"/>
    </xf>
    <xf numFmtId="172" fontId="4" fillId="10" borderId="0" xfId="0" applyNumberFormat="1" applyFont="1" applyFill="1" applyAlignment="1">
      <alignment vertical="center"/>
    </xf>
    <xf numFmtId="171" fontId="4" fillId="2" borderId="0" xfId="0" applyNumberFormat="1" applyFont="1" applyFill="1" applyAlignment="1" applyProtection="1">
      <alignment vertical="center"/>
      <protection locked="0"/>
    </xf>
    <xf numFmtId="0" fontId="4" fillId="9" borderId="0" xfId="0" applyFont="1" applyFill="1"/>
    <xf numFmtId="0" fontId="0" fillId="9" borderId="0" xfId="0" applyFill="1"/>
    <xf numFmtId="0" fontId="16" fillId="5" borderId="0" xfId="2" applyFont="1" applyFill="1" applyAlignment="1">
      <alignment horizontal="left" vertical="center"/>
    </xf>
    <xf numFmtId="0" fontId="19" fillId="5" borderId="0" xfId="2" applyFont="1" applyFill="1" applyAlignment="1">
      <alignment horizontal="right" vertical="center"/>
    </xf>
    <xf numFmtId="43" fontId="4" fillId="0" borderId="0" xfId="0" applyNumberFormat="1" applyFont="1"/>
    <xf numFmtId="0" fontId="2" fillId="3" borderId="0" xfId="0" applyFont="1" applyFill="1" applyAlignment="1">
      <alignment horizontal="left" vertical="center"/>
    </xf>
    <xf numFmtId="0" fontId="2" fillId="0" borderId="0" xfId="0" applyFont="1" applyAlignment="1">
      <alignment horizontal="left" vertical="center"/>
    </xf>
    <xf numFmtId="0" fontId="6" fillId="5" borderId="0" xfId="2" quotePrefix="1" applyFill="1" applyAlignment="1">
      <alignment horizontal="left" vertical="center" wrapText="1"/>
    </xf>
    <xf numFmtId="0" fontId="25" fillId="0" borderId="0" xfId="0" applyFont="1" applyAlignment="1">
      <alignment horizontal="left" wrapText="1"/>
    </xf>
    <xf numFmtId="0" fontId="16" fillId="5" borderId="0" xfId="2" applyFont="1" applyFill="1" applyAlignment="1">
      <alignment horizontal="left" vertical="center" wrapText="1"/>
    </xf>
    <xf numFmtId="0" fontId="16" fillId="6" borderId="0" xfId="2" applyFont="1" applyFill="1" applyAlignment="1">
      <alignment horizontal="left" vertical="center" wrapText="1"/>
    </xf>
    <xf numFmtId="0" fontId="4" fillId="0" borderId="0" xfId="0" applyFont="1" applyAlignment="1">
      <alignment vertical="center"/>
    </xf>
    <xf numFmtId="0" fontId="25" fillId="0" borderId="0" xfId="0" applyFont="1" applyAlignment="1">
      <alignment vertical="center"/>
    </xf>
    <xf numFmtId="0" fontId="22" fillId="8" borderId="1" xfId="0" applyFont="1" applyFill="1" applyBorder="1" applyAlignment="1">
      <alignment horizontal="center"/>
    </xf>
    <xf numFmtId="0" fontId="1" fillId="0" borderId="0" xfId="0" applyFont="1" applyAlignment="1">
      <alignment vertical="center"/>
    </xf>
    <xf numFmtId="0" fontId="1" fillId="3" borderId="0" xfId="0" applyFont="1" applyFill="1" applyAlignment="1">
      <alignment horizontal="left" vertical="center" wrapText="1"/>
    </xf>
    <xf numFmtId="0" fontId="1" fillId="0" borderId="0" xfId="0" applyFont="1"/>
    <xf numFmtId="0" fontId="39" fillId="0" borderId="0" xfId="0" applyFont="1"/>
    <xf numFmtId="0" fontId="37" fillId="0" borderId="0" xfId="0" applyFont="1"/>
    <xf numFmtId="0" fontId="37" fillId="0" borderId="0" xfId="0" applyFont="1" applyAlignment="1">
      <alignment vertical="top"/>
    </xf>
    <xf numFmtId="171" fontId="39" fillId="2" borderId="0" xfId="0" applyNumberFormat="1" applyFont="1" applyFill="1" applyAlignment="1" applyProtection="1">
      <alignment vertical="center"/>
      <protection locked="0"/>
    </xf>
    <xf numFmtId="0" fontId="41" fillId="0" borderId="0" xfId="0" applyFont="1"/>
    <xf numFmtId="0" fontId="39" fillId="2" borderId="0" xfId="0" applyFont="1" applyFill="1" applyAlignment="1" applyProtection="1">
      <alignment vertical="center" wrapText="1"/>
      <protection locked="0"/>
    </xf>
    <xf numFmtId="0" fontId="1" fillId="0" borderId="0" xfId="0" applyFont="1" applyAlignment="1">
      <alignment horizontal="center"/>
    </xf>
    <xf numFmtId="0" fontId="37" fillId="0" borderId="0" xfId="0" applyFont="1" applyFill="1"/>
    <xf numFmtId="0" fontId="37" fillId="0" borderId="0" xfId="0" applyFont="1" applyAlignment="1">
      <alignment horizontal="center"/>
    </xf>
    <xf numFmtId="43" fontId="37" fillId="0" borderId="0" xfId="0" applyNumberFormat="1" applyFont="1" applyAlignment="1">
      <alignment horizontal="center"/>
    </xf>
    <xf numFmtId="173" fontId="37" fillId="0" borderId="0" xfId="0" applyNumberFormat="1" applyFont="1" applyAlignment="1">
      <alignment horizontal="center"/>
    </xf>
    <xf numFmtId="174" fontId="37" fillId="0" borderId="0" xfId="0" applyNumberFormat="1" applyFont="1" applyAlignment="1">
      <alignment horizontal="center"/>
    </xf>
    <xf numFmtId="0" fontId="37" fillId="0" borderId="0" xfId="0" applyFont="1" applyAlignment="1">
      <alignment horizontal="right"/>
    </xf>
    <xf numFmtId="177" fontId="39" fillId="0" borderId="0" xfId="0" applyNumberFormat="1" applyFont="1" applyAlignment="1">
      <alignment horizontal="center"/>
    </xf>
    <xf numFmtId="0" fontId="40" fillId="0" borderId="0" xfId="0" applyFont="1" applyAlignment="1">
      <alignment vertical="center" wrapText="1"/>
    </xf>
    <xf numFmtId="0" fontId="0" fillId="0" borderId="0" xfId="0" applyAlignment="1">
      <alignment vertical="center" wrapText="1"/>
    </xf>
  </cellXfs>
  <cellStyles count="4">
    <cellStyle name="Comma" xfId="1" builtinId="3"/>
    <cellStyle name="Normal" xfId="0" builtinId="0"/>
    <cellStyle name="Normal 2" xfId="2" xr:uid="{DC2DBD19-26D5-4EDE-B08F-65E0C712DB89}"/>
    <cellStyle name="Normal 3" xfId="3" xr:uid="{55D6E64D-7C84-40FE-8D8A-1A3FD38F2431}"/>
  </cellStyles>
  <dxfs count="1">
    <dxf>
      <font>
        <b val="0"/>
        <i/>
        <strike/>
      </font>
    </dxf>
  </dxfs>
  <tableStyles count="0" defaultTableStyle="TableStyleMedium2" defaultPivotStyle="PivotStyleLight16"/>
  <colors>
    <mruColors>
      <color rgb="FF00B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0892D5-72DD-4098-9518-66FD1C91458E}"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n-US"/>
        </a:p>
      </dgm:t>
    </dgm:pt>
    <dgm:pt modelId="{F46B16D8-D2D0-4F9D-A307-AA669472EC21}">
      <dgm:prSet phldrT="[Text]"/>
      <dgm:spPr/>
      <dgm:t>
        <a:bodyPr/>
        <a:lstStyle/>
        <a:p>
          <a:r>
            <a:rPr lang="en-US"/>
            <a:t>Step -1</a:t>
          </a:r>
        </a:p>
      </dgm:t>
    </dgm:pt>
    <dgm:pt modelId="{7C414980-0EDE-4EEF-841A-DE211DA93EBA}" type="parTrans" cxnId="{3EE75E4F-74B9-45D0-8FCE-2D64896BAAC0}">
      <dgm:prSet/>
      <dgm:spPr/>
      <dgm:t>
        <a:bodyPr/>
        <a:lstStyle/>
        <a:p>
          <a:endParaRPr lang="en-US"/>
        </a:p>
      </dgm:t>
    </dgm:pt>
    <dgm:pt modelId="{CEADBD19-631A-4331-B991-3E6B4B7E11A4}" type="sibTrans" cxnId="{3EE75E4F-74B9-45D0-8FCE-2D64896BAAC0}">
      <dgm:prSet/>
      <dgm:spPr/>
      <dgm:t>
        <a:bodyPr/>
        <a:lstStyle/>
        <a:p>
          <a:endParaRPr lang="en-US"/>
        </a:p>
      </dgm:t>
    </dgm:pt>
    <dgm:pt modelId="{F6440101-1D15-432E-9374-BEBB392AC887}">
      <dgm:prSet phldrT="[Text]"/>
      <dgm:spPr/>
      <dgm:t>
        <a:bodyPr/>
        <a:lstStyle/>
        <a:p>
          <a:r>
            <a:rPr lang="en-US"/>
            <a:t>As per the selected Method, the user should fill information for input parameters &amp; choose the fuel type on this sheet and tab  "BE", "PE" and "LE" in Yello cells only.</a:t>
          </a:r>
        </a:p>
      </dgm:t>
    </dgm:pt>
    <dgm:pt modelId="{F5CA1A36-D272-4C72-91CE-616F55221D3D}" type="parTrans" cxnId="{9DC60196-71BF-49C9-87F9-10F40E7EE007}">
      <dgm:prSet/>
      <dgm:spPr/>
      <dgm:t>
        <a:bodyPr/>
        <a:lstStyle/>
        <a:p>
          <a:endParaRPr lang="en-US"/>
        </a:p>
      </dgm:t>
    </dgm:pt>
    <dgm:pt modelId="{AC2B9334-17BF-40CC-8622-96D4FA853F42}" type="sibTrans" cxnId="{9DC60196-71BF-49C9-87F9-10F40E7EE007}">
      <dgm:prSet/>
      <dgm:spPr/>
      <dgm:t>
        <a:bodyPr/>
        <a:lstStyle/>
        <a:p>
          <a:endParaRPr lang="en-US"/>
        </a:p>
      </dgm:t>
    </dgm:pt>
    <dgm:pt modelId="{E10F032F-3330-4288-A39C-83609737DE48}">
      <dgm:prSet phldrT="[Text]"/>
      <dgm:spPr/>
      <dgm:t>
        <a:bodyPr/>
        <a:lstStyle/>
        <a:p>
          <a:r>
            <a:rPr lang="en-US"/>
            <a:t>Step -2</a:t>
          </a:r>
        </a:p>
      </dgm:t>
    </dgm:pt>
    <dgm:pt modelId="{A3C2824E-1DA5-4C28-8D9C-F68DFC598799}" type="parTrans" cxnId="{06CFC7BE-5DF8-48D6-9977-A8FCE0AAB7E0}">
      <dgm:prSet/>
      <dgm:spPr/>
      <dgm:t>
        <a:bodyPr/>
        <a:lstStyle/>
        <a:p>
          <a:endParaRPr lang="en-US"/>
        </a:p>
      </dgm:t>
    </dgm:pt>
    <dgm:pt modelId="{E3222BC4-80F2-460B-971B-C05D96757C8F}" type="sibTrans" cxnId="{06CFC7BE-5DF8-48D6-9977-A8FCE0AAB7E0}">
      <dgm:prSet/>
      <dgm:spPr/>
      <dgm:t>
        <a:bodyPr/>
        <a:lstStyle/>
        <a:p>
          <a:endParaRPr lang="en-US"/>
        </a:p>
      </dgm:t>
    </dgm:pt>
    <dgm:pt modelId="{4EC2CE2B-9AE0-433F-9C3F-5A4328BAB414}">
      <dgm:prSet phldrT="[Text]"/>
      <dgm:spPr/>
      <dgm:t>
        <a:bodyPr/>
        <a:lstStyle/>
        <a:p>
          <a:r>
            <a:rPr lang="en-US"/>
            <a:t>The user should fill information as per distribution plan and usage rates (expected or monitored) in tab "ER"</a:t>
          </a:r>
        </a:p>
      </dgm:t>
    </dgm:pt>
    <dgm:pt modelId="{52A82914-9405-4671-BCAF-701E515F0BA6}" type="parTrans" cxnId="{F74BB957-D717-4D76-A24B-9A6AFD87DFFE}">
      <dgm:prSet/>
      <dgm:spPr/>
      <dgm:t>
        <a:bodyPr/>
        <a:lstStyle/>
        <a:p>
          <a:endParaRPr lang="en-US"/>
        </a:p>
      </dgm:t>
    </dgm:pt>
    <dgm:pt modelId="{16227338-E435-4A5B-81F2-137621C51CDD}" type="sibTrans" cxnId="{F74BB957-D717-4D76-A24B-9A6AFD87DFFE}">
      <dgm:prSet/>
      <dgm:spPr/>
      <dgm:t>
        <a:bodyPr/>
        <a:lstStyle/>
        <a:p>
          <a:endParaRPr lang="en-US"/>
        </a:p>
      </dgm:t>
    </dgm:pt>
    <dgm:pt modelId="{F6B93DAA-D12B-411E-8194-57F011B544FE}">
      <dgm:prSet phldrT="[Text]"/>
      <dgm:spPr/>
      <dgm:t>
        <a:bodyPr/>
        <a:lstStyle/>
        <a:p>
          <a:r>
            <a:rPr lang="en-US"/>
            <a:t>Step -3</a:t>
          </a:r>
        </a:p>
      </dgm:t>
    </dgm:pt>
    <dgm:pt modelId="{6E947E60-75AE-47E9-82A7-7BE1D0CB52A2}" type="parTrans" cxnId="{3CF66AC1-A47D-41FF-AB7C-D3ECA7D5DF6A}">
      <dgm:prSet/>
      <dgm:spPr/>
      <dgm:t>
        <a:bodyPr/>
        <a:lstStyle/>
        <a:p>
          <a:endParaRPr lang="en-US"/>
        </a:p>
      </dgm:t>
    </dgm:pt>
    <dgm:pt modelId="{B40BA91D-F782-450F-87FF-5381B7D2ADE6}" type="sibTrans" cxnId="{3CF66AC1-A47D-41FF-AB7C-D3ECA7D5DF6A}">
      <dgm:prSet/>
      <dgm:spPr/>
      <dgm:t>
        <a:bodyPr/>
        <a:lstStyle/>
        <a:p>
          <a:endParaRPr lang="en-US"/>
        </a:p>
      </dgm:t>
    </dgm:pt>
    <dgm:pt modelId="{30399817-FD6E-4E09-B209-D9808FFA1CE2}">
      <dgm:prSet phldrT="[Text]"/>
      <dgm:spPr/>
      <dgm:t>
        <a:bodyPr/>
        <a:lstStyle/>
        <a:p>
          <a:r>
            <a:rPr lang="en-US"/>
            <a:t>Check the emission reduction in "cover" worksheet.</a:t>
          </a:r>
        </a:p>
      </dgm:t>
    </dgm:pt>
    <dgm:pt modelId="{6D010777-5349-4219-8A54-7CA0ED57EF8A}" type="parTrans" cxnId="{4D56FE15-A089-4E4F-A2E1-055E354E2548}">
      <dgm:prSet/>
      <dgm:spPr/>
      <dgm:t>
        <a:bodyPr/>
        <a:lstStyle/>
        <a:p>
          <a:endParaRPr lang="en-US"/>
        </a:p>
      </dgm:t>
    </dgm:pt>
    <dgm:pt modelId="{AAD7B832-D15A-475C-A226-F4F2FABBD294}" type="sibTrans" cxnId="{4D56FE15-A089-4E4F-A2E1-055E354E2548}">
      <dgm:prSet/>
      <dgm:spPr/>
      <dgm:t>
        <a:bodyPr/>
        <a:lstStyle/>
        <a:p>
          <a:endParaRPr lang="en-US"/>
        </a:p>
      </dgm:t>
    </dgm:pt>
    <dgm:pt modelId="{E8DF7CE2-9867-4FDF-8282-5A7B1F9F13B4}" type="pres">
      <dgm:prSet presAssocID="{860892D5-72DD-4098-9518-66FD1C91458E}" presName="linear" presStyleCnt="0">
        <dgm:presLayoutVars>
          <dgm:dir/>
          <dgm:animLvl val="lvl"/>
          <dgm:resizeHandles val="exact"/>
        </dgm:presLayoutVars>
      </dgm:prSet>
      <dgm:spPr/>
    </dgm:pt>
    <dgm:pt modelId="{9BD33E61-4692-419A-90D3-B75C9635EAE4}" type="pres">
      <dgm:prSet presAssocID="{F46B16D8-D2D0-4F9D-A307-AA669472EC21}" presName="parentLin" presStyleCnt="0"/>
      <dgm:spPr/>
    </dgm:pt>
    <dgm:pt modelId="{9BF678F2-34C8-49B2-88C0-7A828169ACB1}" type="pres">
      <dgm:prSet presAssocID="{F46B16D8-D2D0-4F9D-A307-AA669472EC21}" presName="parentLeftMargin" presStyleLbl="node1" presStyleIdx="0" presStyleCnt="3"/>
      <dgm:spPr/>
    </dgm:pt>
    <dgm:pt modelId="{86B28F63-C9F9-4C57-9222-2E8761C64A60}" type="pres">
      <dgm:prSet presAssocID="{F46B16D8-D2D0-4F9D-A307-AA669472EC21}" presName="parentText" presStyleLbl="node1" presStyleIdx="0" presStyleCnt="3">
        <dgm:presLayoutVars>
          <dgm:chMax val="0"/>
          <dgm:bulletEnabled val="1"/>
        </dgm:presLayoutVars>
      </dgm:prSet>
      <dgm:spPr/>
    </dgm:pt>
    <dgm:pt modelId="{CBA857D5-3F4B-44FF-A113-1951B9CABFDD}" type="pres">
      <dgm:prSet presAssocID="{F46B16D8-D2D0-4F9D-A307-AA669472EC21}" presName="negativeSpace" presStyleCnt="0"/>
      <dgm:spPr/>
    </dgm:pt>
    <dgm:pt modelId="{0854AD05-5736-4FEE-AAFF-5DA4F567639F}" type="pres">
      <dgm:prSet presAssocID="{F46B16D8-D2D0-4F9D-A307-AA669472EC21}" presName="childText" presStyleLbl="conFgAcc1" presStyleIdx="0" presStyleCnt="3">
        <dgm:presLayoutVars>
          <dgm:bulletEnabled val="1"/>
        </dgm:presLayoutVars>
      </dgm:prSet>
      <dgm:spPr/>
    </dgm:pt>
    <dgm:pt modelId="{49AF8832-0517-4E94-8C83-1F8DF6F0D142}" type="pres">
      <dgm:prSet presAssocID="{CEADBD19-631A-4331-B991-3E6B4B7E11A4}" presName="spaceBetweenRectangles" presStyleCnt="0"/>
      <dgm:spPr/>
    </dgm:pt>
    <dgm:pt modelId="{7C320C6D-C07B-4AD5-B4F8-BA98E53F8C8F}" type="pres">
      <dgm:prSet presAssocID="{E10F032F-3330-4288-A39C-83609737DE48}" presName="parentLin" presStyleCnt="0"/>
      <dgm:spPr/>
    </dgm:pt>
    <dgm:pt modelId="{FC4C7898-9CE6-4BD3-B248-3CABB72547E3}" type="pres">
      <dgm:prSet presAssocID="{E10F032F-3330-4288-A39C-83609737DE48}" presName="parentLeftMargin" presStyleLbl="node1" presStyleIdx="0" presStyleCnt="3"/>
      <dgm:spPr/>
    </dgm:pt>
    <dgm:pt modelId="{452866BB-7CB3-4207-9EF2-8199596F59EC}" type="pres">
      <dgm:prSet presAssocID="{E10F032F-3330-4288-A39C-83609737DE48}" presName="parentText" presStyleLbl="node1" presStyleIdx="1" presStyleCnt="3">
        <dgm:presLayoutVars>
          <dgm:chMax val="0"/>
          <dgm:bulletEnabled val="1"/>
        </dgm:presLayoutVars>
      </dgm:prSet>
      <dgm:spPr/>
    </dgm:pt>
    <dgm:pt modelId="{FDE89F22-9E34-4FFB-A88A-414C2A672D1B}" type="pres">
      <dgm:prSet presAssocID="{E10F032F-3330-4288-A39C-83609737DE48}" presName="negativeSpace" presStyleCnt="0"/>
      <dgm:spPr/>
    </dgm:pt>
    <dgm:pt modelId="{5E43BA30-02AD-419F-A730-FFFA3B000C81}" type="pres">
      <dgm:prSet presAssocID="{E10F032F-3330-4288-A39C-83609737DE48}" presName="childText" presStyleLbl="conFgAcc1" presStyleIdx="1" presStyleCnt="3">
        <dgm:presLayoutVars>
          <dgm:bulletEnabled val="1"/>
        </dgm:presLayoutVars>
      </dgm:prSet>
      <dgm:spPr/>
    </dgm:pt>
    <dgm:pt modelId="{6C6BAFF6-F9B7-45C3-AFA2-312133B49A98}" type="pres">
      <dgm:prSet presAssocID="{E3222BC4-80F2-460B-971B-C05D96757C8F}" presName="spaceBetweenRectangles" presStyleCnt="0"/>
      <dgm:spPr/>
    </dgm:pt>
    <dgm:pt modelId="{113E9126-BB98-4400-BBC2-A82803793E2E}" type="pres">
      <dgm:prSet presAssocID="{F6B93DAA-D12B-411E-8194-57F011B544FE}" presName="parentLin" presStyleCnt="0"/>
      <dgm:spPr/>
    </dgm:pt>
    <dgm:pt modelId="{F82092BA-92D6-4542-9A8C-C6227B9CFA8B}" type="pres">
      <dgm:prSet presAssocID="{F6B93DAA-D12B-411E-8194-57F011B544FE}" presName="parentLeftMargin" presStyleLbl="node1" presStyleIdx="1" presStyleCnt="3"/>
      <dgm:spPr/>
    </dgm:pt>
    <dgm:pt modelId="{D6245106-561F-4FAF-8078-7592D1ABF5B2}" type="pres">
      <dgm:prSet presAssocID="{F6B93DAA-D12B-411E-8194-57F011B544FE}" presName="parentText" presStyleLbl="node1" presStyleIdx="2" presStyleCnt="3">
        <dgm:presLayoutVars>
          <dgm:chMax val="0"/>
          <dgm:bulletEnabled val="1"/>
        </dgm:presLayoutVars>
      </dgm:prSet>
      <dgm:spPr/>
    </dgm:pt>
    <dgm:pt modelId="{886A8B15-EDFC-4C71-9912-6AE27020E3EB}" type="pres">
      <dgm:prSet presAssocID="{F6B93DAA-D12B-411E-8194-57F011B544FE}" presName="negativeSpace" presStyleCnt="0"/>
      <dgm:spPr/>
    </dgm:pt>
    <dgm:pt modelId="{58B929AA-EB1A-48D5-A627-A94CBEC21F01}" type="pres">
      <dgm:prSet presAssocID="{F6B93DAA-D12B-411E-8194-57F011B544FE}" presName="childText" presStyleLbl="conFgAcc1" presStyleIdx="2" presStyleCnt="3">
        <dgm:presLayoutVars>
          <dgm:bulletEnabled val="1"/>
        </dgm:presLayoutVars>
      </dgm:prSet>
      <dgm:spPr/>
    </dgm:pt>
  </dgm:ptLst>
  <dgm:cxnLst>
    <dgm:cxn modelId="{171B990F-CB89-4CC9-9A12-4D0150E2EDCB}" type="presOf" srcId="{F6B93DAA-D12B-411E-8194-57F011B544FE}" destId="{D6245106-561F-4FAF-8078-7592D1ABF5B2}" srcOrd="1" destOrd="0" presId="urn:microsoft.com/office/officeart/2005/8/layout/list1"/>
    <dgm:cxn modelId="{4D56FE15-A089-4E4F-A2E1-055E354E2548}" srcId="{F6B93DAA-D12B-411E-8194-57F011B544FE}" destId="{30399817-FD6E-4E09-B209-D9808FFA1CE2}" srcOrd="0" destOrd="0" parTransId="{6D010777-5349-4219-8A54-7CA0ED57EF8A}" sibTransId="{AAD7B832-D15A-475C-A226-F4F2FABBD294}"/>
    <dgm:cxn modelId="{808F9123-B78A-4B0A-896F-C67E0C7B2697}" type="presOf" srcId="{F6B93DAA-D12B-411E-8194-57F011B544FE}" destId="{F82092BA-92D6-4542-9A8C-C6227B9CFA8B}" srcOrd="0" destOrd="0" presId="urn:microsoft.com/office/officeart/2005/8/layout/list1"/>
    <dgm:cxn modelId="{D0E7D55B-8881-4435-A13D-B8B665554C11}" type="presOf" srcId="{E10F032F-3330-4288-A39C-83609737DE48}" destId="{FC4C7898-9CE6-4BD3-B248-3CABB72547E3}" srcOrd="0" destOrd="0" presId="urn:microsoft.com/office/officeart/2005/8/layout/list1"/>
    <dgm:cxn modelId="{3EE75E4F-74B9-45D0-8FCE-2D64896BAAC0}" srcId="{860892D5-72DD-4098-9518-66FD1C91458E}" destId="{F46B16D8-D2D0-4F9D-A307-AA669472EC21}" srcOrd="0" destOrd="0" parTransId="{7C414980-0EDE-4EEF-841A-DE211DA93EBA}" sibTransId="{CEADBD19-631A-4331-B991-3E6B4B7E11A4}"/>
    <dgm:cxn modelId="{0C863853-ED62-48EB-AA69-6EB2F41AF648}" type="presOf" srcId="{E10F032F-3330-4288-A39C-83609737DE48}" destId="{452866BB-7CB3-4207-9EF2-8199596F59EC}" srcOrd="1" destOrd="0" presId="urn:microsoft.com/office/officeart/2005/8/layout/list1"/>
    <dgm:cxn modelId="{FCDB6E55-321A-4DAA-A1ED-5062D5E155C9}" type="presOf" srcId="{860892D5-72DD-4098-9518-66FD1C91458E}" destId="{E8DF7CE2-9867-4FDF-8282-5A7B1F9F13B4}" srcOrd="0" destOrd="0" presId="urn:microsoft.com/office/officeart/2005/8/layout/list1"/>
    <dgm:cxn modelId="{F74BB957-D717-4D76-A24B-9A6AFD87DFFE}" srcId="{E10F032F-3330-4288-A39C-83609737DE48}" destId="{4EC2CE2B-9AE0-433F-9C3F-5A4328BAB414}" srcOrd="0" destOrd="0" parTransId="{52A82914-9405-4671-BCAF-701E515F0BA6}" sibTransId="{16227338-E435-4A5B-81F2-137621C51CDD}"/>
    <dgm:cxn modelId="{8AB0C589-40F2-4E37-8AFD-E06F8C053CB4}" type="presOf" srcId="{4EC2CE2B-9AE0-433F-9C3F-5A4328BAB414}" destId="{5E43BA30-02AD-419F-A730-FFFA3B000C81}" srcOrd="0" destOrd="0" presId="urn:microsoft.com/office/officeart/2005/8/layout/list1"/>
    <dgm:cxn modelId="{CCDED495-4B7D-4804-9756-DF8B6B1FBA16}" type="presOf" srcId="{30399817-FD6E-4E09-B209-D9808FFA1CE2}" destId="{58B929AA-EB1A-48D5-A627-A94CBEC21F01}" srcOrd="0" destOrd="0" presId="urn:microsoft.com/office/officeart/2005/8/layout/list1"/>
    <dgm:cxn modelId="{9DC60196-71BF-49C9-87F9-10F40E7EE007}" srcId="{F46B16D8-D2D0-4F9D-A307-AA669472EC21}" destId="{F6440101-1D15-432E-9374-BEBB392AC887}" srcOrd="0" destOrd="0" parTransId="{F5CA1A36-D272-4C72-91CE-616F55221D3D}" sibTransId="{AC2B9334-17BF-40CC-8622-96D4FA853F42}"/>
    <dgm:cxn modelId="{E4127BA1-D248-43E4-B69A-3B64C274F929}" type="presOf" srcId="{F46B16D8-D2D0-4F9D-A307-AA669472EC21}" destId="{9BF678F2-34C8-49B2-88C0-7A828169ACB1}" srcOrd="0" destOrd="0" presId="urn:microsoft.com/office/officeart/2005/8/layout/list1"/>
    <dgm:cxn modelId="{06CFC7BE-5DF8-48D6-9977-A8FCE0AAB7E0}" srcId="{860892D5-72DD-4098-9518-66FD1C91458E}" destId="{E10F032F-3330-4288-A39C-83609737DE48}" srcOrd="1" destOrd="0" parTransId="{A3C2824E-1DA5-4C28-8D9C-F68DFC598799}" sibTransId="{E3222BC4-80F2-460B-971B-C05D96757C8F}"/>
    <dgm:cxn modelId="{3CF66AC1-A47D-41FF-AB7C-D3ECA7D5DF6A}" srcId="{860892D5-72DD-4098-9518-66FD1C91458E}" destId="{F6B93DAA-D12B-411E-8194-57F011B544FE}" srcOrd="2" destOrd="0" parTransId="{6E947E60-75AE-47E9-82A7-7BE1D0CB52A2}" sibTransId="{B40BA91D-F782-450F-87FF-5381B7D2ADE6}"/>
    <dgm:cxn modelId="{E0C6C7E1-2A4D-473B-9903-F07F60B45077}" type="presOf" srcId="{F6440101-1D15-432E-9374-BEBB392AC887}" destId="{0854AD05-5736-4FEE-AAFF-5DA4F567639F}" srcOrd="0" destOrd="0" presId="urn:microsoft.com/office/officeart/2005/8/layout/list1"/>
    <dgm:cxn modelId="{E86C40E8-7087-4086-9425-CE9EB072861E}" type="presOf" srcId="{F46B16D8-D2D0-4F9D-A307-AA669472EC21}" destId="{86B28F63-C9F9-4C57-9222-2E8761C64A60}" srcOrd="1" destOrd="0" presId="urn:microsoft.com/office/officeart/2005/8/layout/list1"/>
    <dgm:cxn modelId="{14CE108F-1216-4063-85CA-B33A7DA5C1B9}" type="presParOf" srcId="{E8DF7CE2-9867-4FDF-8282-5A7B1F9F13B4}" destId="{9BD33E61-4692-419A-90D3-B75C9635EAE4}" srcOrd="0" destOrd="0" presId="urn:microsoft.com/office/officeart/2005/8/layout/list1"/>
    <dgm:cxn modelId="{8876EFFD-35FE-444C-93DB-D4BA28258F14}" type="presParOf" srcId="{9BD33E61-4692-419A-90D3-B75C9635EAE4}" destId="{9BF678F2-34C8-49B2-88C0-7A828169ACB1}" srcOrd="0" destOrd="0" presId="urn:microsoft.com/office/officeart/2005/8/layout/list1"/>
    <dgm:cxn modelId="{F67EFEA8-95EB-4C84-B60B-1965653D8B9B}" type="presParOf" srcId="{9BD33E61-4692-419A-90D3-B75C9635EAE4}" destId="{86B28F63-C9F9-4C57-9222-2E8761C64A60}" srcOrd="1" destOrd="0" presId="urn:microsoft.com/office/officeart/2005/8/layout/list1"/>
    <dgm:cxn modelId="{B5A0E721-D001-4BC2-85DD-57FB76F1EB30}" type="presParOf" srcId="{E8DF7CE2-9867-4FDF-8282-5A7B1F9F13B4}" destId="{CBA857D5-3F4B-44FF-A113-1951B9CABFDD}" srcOrd="1" destOrd="0" presId="urn:microsoft.com/office/officeart/2005/8/layout/list1"/>
    <dgm:cxn modelId="{43AC247D-4780-40D8-A924-1573E6261B80}" type="presParOf" srcId="{E8DF7CE2-9867-4FDF-8282-5A7B1F9F13B4}" destId="{0854AD05-5736-4FEE-AAFF-5DA4F567639F}" srcOrd="2" destOrd="0" presId="urn:microsoft.com/office/officeart/2005/8/layout/list1"/>
    <dgm:cxn modelId="{62A2904F-4322-4256-9E1C-E1B3F674B7C1}" type="presParOf" srcId="{E8DF7CE2-9867-4FDF-8282-5A7B1F9F13B4}" destId="{49AF8832-0517-4E94-8C83-1F8DF6F0D142}" srcOrd="3" destOrd="0" presId="urn:microsoft.com/office/officeart/2005/8/layout/list1"/>
    <dgm:cxn modelId="{0B58075C-EBA0-4980-8F56-68E0D264F722}" type="presParOf" srcId="{E8DF7CE2-9867-4FDF-8282-5A7B1F9F13B4}" destId="{7C320C6D-C07B-4AD5-B4F8-BA98E53F8C8F}" srcOrd="4" destOrd="0" presId="urn:microsoft.com/office/officeart/2005/8/layout/list1"/>
    <dgm:cxn modelId="{A81393C4-9701-4A51-B516-620DB4746026}" type="presParOf" srcId="{7C320C6D-C07B-4AD5-B4F8-BA98E53F8C8F}" destId="{FC4C7898-9CE6-4BD3-B248-3CABB72547E3}" srcOrd="0" destOrd="0" presId="urn:microsoft.com/office/officeart/2005/8/layout/list1"/>
    <dgm:cxn modelId="{5E2E3AAD-A3E7-41E4-B033-0DF14CBB5BC9}" type="presParOf" srcId="{7C320C6D-C07B-4AD5-B4F8-BA98E53F8C8F}" destId="{452866BB-7CB3-4207-9EF2-8199596F59EC}" srcOrd="1" destOrd="0" presId="urn:microsoft.com/office/officeart/2005/8/layout/list1"/>
    <dgm:cxn modelId="{99B9E906-48BB-4286-A17B-A7AAAB2D5D40}" type="presParOf" srcId="{E8DF7CE2-9867-4FDF-8282-5A7B1F9F13B4}" destId="{FDE89F22-9E34-4FFB-A88A-414C2A672D1B}" srcOrd="5" destOrd="0" presId="urn:microsoft.com/office/officeart/2005/8/layout/list1"/>
    <dgm:cxn modelId="{F8DF1315-2A01-4A1C-A17E-CC66025AE175}" type="presParOf" srcId="{E8DF7CE2-9867-4FDF-8282-5A7B1F9F13B4}" destId="{5E43BA30-02AD-419F-A730-FFFA3B000C81}" srcOrd="6" destOrd="0" presId="urn:microsoft.com/office/officeart/2005/8/layout/list1"/>
    <dgm:cxn modelId="{270934D3-18AC-434C-B409-AF6C237F43AC}" type="presParOf" srcId="{E8DF7CE2-9867-4FDF-8282-5A7B1F9F13B4}" destId="{6C6BAFF6-F9B7-45C3-AFA2-312133B49A98}" srcOrd="7" destOrd="0" presId="urn:microsoft.com/office/officeart/2005/8/layout/list1"/>
    <dgm:cxn modelId="{4AF173A4-047E-4956-84F7-FD1E95236C0C}" type="presParOf" srcId="{E8DF7CE2-9867-4FDF-8282-5A7B1F9F13B4}" destId="{113E9126-BB98-4400-BBC2-A82803793E2E}" srcOrd="8" destOrd="0" presId="urn:microsoft.com/office/officeart/2005/8/layout/list1"/>
    <dgm:cxn modelId="{F411F497-4E8B-47E8-91D5-7168D058FDF4}" type="presParOf" srcId="{113E9126-BB98-4400-BBC2-A82803793E2E}" destId="{F82092BA-92D6-4542-9A8C-C6227B9CFA8B}" srcOrd="0" destOrd="0" presId="urn:microsoft.com/office/officeart/2005/8/layout/list1"/>
    <dgm:cxn modelId="{A9332A87-168E-460C-9100-7F6372C6214F}" type="presParOf" srcId="{113E9126-BB98-4400-BBC2-A82803793E2E}" destId="{D6245106-561F-4FAF-8078-7592D1ABF5B2}" srcOrd="1" destOrd="0" presId="urn:microsoft.com/office/officeart/2005/8/layout/list1"/>
    <dgm:cxn modelId="{D79F34F3-D641-47AA-BC6F-ABEC7EF346F0}" type="presParOf" srcId="{E8DF7CE2-9867-4FDF-8282-5A7B1F9F13B4}" destId="{886A8B15-EDFC-4C71-9912-6AE27020E3EB}" srcOrd="9" destOrd="0" presId="urn:microsoft.com/office/officeart/2005/8/layout/list1"/>
    <dgm:cxn modelId="{3C722D74-2EF9-4A92-9D9B-D7522822012D}" type="presParOf" srcId="{E8DF7CE2-9867-4FDF-8282-5A7B1F9F13B4}" destId="{58B929AA-EB1A-48D5-A627-A94CBEC21F01}" srcOrd="10"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854AD05-5736-4FEE-AAFF-5DA4F567639F}">
      <dsp:nvSpPr>
        <dsp:cNvPr id="0" name=""/>
        <dsp:cNvSpPr/>
      </dsp:nvSpPr>
      <dsp:spPr>
        <a:xfrm>
          <a:off x="0" y="268734"/>
          <a:ext cx="4582459" cy="192780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50" tIns="354076" rIns="355650" bIns="120904" numCol="1" spcCol="1270" anchor="t" anchorCtr="0">
          <a:noAutofit/>
        </a:bodyPr>
        <a:lstStyle/>
        <a:p>
          <a:pPr marL="171450" lvl="1" indent="-171450" algn="l" defTabSz="755650">
            <a:lnSpc>
              <a:spcPct val="90000"/>
            </a:lnSpc>
            <a:spcBef>
              <a:spcPct val="0"/>
            </a:spcBef>
            <a:spcAft>
              <a:spcPct val="15000"/>
            </a:spcAft>
            <a:buChar char="•"/>
          </a:pPr>
          <a:r>
            <a:rPr lang="en-US" sz="1700" kern="1200"/>
            <a:t>As per the selected Method, the user should fill information for input parameters &amp; choose the fuel type on this sheet and tab  "BE", "PE" and "LE" in Yello cells only.</a:t>
          </a:r>
        </a:p>
      </dsp:txBody>
      <dsp:txXfrm>
        <a:off x="0" y="268734"/>
        <a:ext cx="4582459" cy="1927800"/>
      </dsp:txXfrm>
    </dsp:sp>
    <dsp:sp modelId="{86B28F63-C9F9-4C57-9222-2E8761C64A60}">
      <dsp:nvSpPr>
        <dsp:cNvPr id="0" name=""/>
        <dsp:cNvSpPr/>
      </dsp:nvSpPr>
      <dsp:spPr>
        <a:xfrm>
          <a:off x="229122" y="17814"/>
          <a:ext cx="3207721" cy="50184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244" tIns="0" rIns="121244" bIns="0" numCol="1" spcCol="1270" anchor="ctr" anchorCtr="0">
          <a:noAutofit/>
        </a:bodyPr>
        <a:lstStyle/>
        <a:p>
          <a:pPr marL="0" lvl="0" indent="0" algn="l" defTabSz="755650">
            <a:lnSpc>
              <a:spcPct val="90000"/>
            </a:lnSpc>
            <a:spcBef>
              <a:spcPct val="0"/>
            </a:spcBef>
            <a:spcAft>
              <a:spcPct val="35000"/>
            </a:spcAft>
            <a:buNone/>
          </a:pPr>
          <a:r>
            <a:rPr lang="en-US" sz="1700" kern="1200"/>
            <a:t>Step -1</a:t>
          </a:r>
        </a:p>
      </dsp:txBody>
      <dsp:txXfrm>
        <a:off x="253620" y="42312"/>
        <a:ext cx="3158725" cy="452844"/>
      </dsp:txXfrm>
    </dsp:sp>
    <dsp:sp modelId="{5E43BA30-02AD-419F-A730-FFFA3B000C81}">
      <dsp:nvSpPr>
        <dsp:cNvPr id="0" name=""/>
        <dsp:cNvSpPr/>
      </dsp:nvSpPr>
      <dsp:spPr>
        <a:xfrm>
          <a:off x="0" y="2539255"/>
          <a:ext cx="4582459" cy="144585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50" tIns="354076" rIns="355650" bIns="120904" numCol="1" spcCol="1270" anchor="t" anchorCtr="0">
          <a:noAutofit/>
        </a:bodyPr>
        <a:lstStyle/>
        <a:p>
          <a:pPr marL="171450" lvl="1" indent="-171450" algn="l" defTabSz="755650">
            <a:lnSpc>
              <a:spcPct val="90000"/>
            </a:lnSpc>
            <a:spcBef>
              <a:spcPct val="0"/>
            </a:spcBef>
            <a:spcAft>
              <a:spcPct val="15000"/>
            </a:spcAft>
            <a:buChar char="•"/>
          </a:pPr>
          <a:r>
            <a:rPr lang="en-US" sz="1700" kern="1200"/>
            <a:t>The user should fill information as per distribution plan and usage rates (expected or monitored) in tab "ER"</a:t>
          </a:r>
        </a:p>
      </dsp:txBody>
      <dsp:txXfrm>
        <a:off x="0" y="2539255"/>
        <a:ext cx="4582459" cy="1445850"/>
      </dsp:txXfrm>
    </dsp:sp>
    <dsp:sp modelId="{452866BB-7CB3-4207-9EF2-8199596F59EC}">
      <dsp:nvSpPr>
        <dsp:cNvPr id="0" name=""/>
        <dsp:cNvSpPr/>
      </dsp:nvSpPr>
      <dsp:spPr>
        <a:xfrm>
          <a:off x="229122" y="2288334"/>
          <a:ext cx="3207721" cy="50184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244" tIns="0" rIns="121244" bIns="0" numCol="1" spcCol="1270" anchor="ctr" anchorCtr="0">
          <a:noAutofit/>
        </a:bodyPr>
        <a:lstStyle/>
        <a:p>
          <a:pPr marL="0" lvl="0" indent="0" algn="l" defTabSz="755650">
            <a:lnSpc>
              <a:spcPct val="90000"/>
            </a:lnSpc>
            <a:spcBef>
              <a:spcPct val="0"/>
            </a:spcBef>
            <a:spcAft>
              <a:spcPct val="35000"/>
            </a:spcAft>
            <a:buNone/>
          </a:pPr>
          <a:r>
            <a:rPr lang="en-US" sz="1700" kern="1200"/>
            <a:t>Step -2</a:t>
          </a:r>
        </a:p>
      </dsp:txBody>
      <dsp:txXfrm>
        <a:off x="253620" y="2312832"/>
        <a:ext cx="3158725" cy="452844"/>
      </dsp:txXfrm>
    </dsp:sp>
    <dsp:sp modelId="{58B929AA-EB1A-48D5-A627-A94CBEC21F01}">
      <dsp:nvSpPr>
        <dsp:cNvPr id="0" name=""/>
        <dsp:cNvSpPr/>
      </dsp:nvSpPr>
      <dsp:spPr>
        <a:xfrm>
          <a:off x="0" y="4327825"/>
          <a:ext cx="4582459" cy="96390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50" tIns="354076" rIns="355650" bIns="120904" numCol="1" spcCol="1270" anchor="t" anchorCtr="0">
          <a:noAutofit/>
        </a:bodyPr>
        <a:lstStyle/>
        <a:p>
          <a:pPr marL="171450" lvl="1" indent="-171450" algn="l" defTabSz="755650">
            <a:lnSpc>
              <a:spcPct val="90000"/>
            </a:lnSpc>
            <a:spcBef>
              <a:spcPct val="0"/>
            </a:spcBef>
            <a:spcAft>
              <a:spcPct val="15000"/>
            </a:spcAft>
            <a:buChar char="•"/>
          </a:pPr>
          <a:r>
            <a:rPr lang="en-US" sz="1700" kern="1200"/>
            <a:t>Check the emission reduction in "cover" worksheet.</a:t>
          </a:r>
        </a:p>
      </dsp:txBody>
      <dsp:txXfrm>
        <a:off x="0" y="4327825"/>
        <a:ext cx="4582459" cy="963900"/>
      </dsp:txXfrm>
    </dsp:sp>
    <dsp:sp modelId="{D6245106-561F-4FAF-8078-7592D1ABF5B2}">
      <dsp:nvSpPr>
        <dsp:cNvPr id="0" name=""/>
        <dsp:cNvSpPr/>
      </dsp:nvSpPr>
      <dsp:spPr>
        <a:xfrm>
          <a:off x="229122" y="4076905"/>
          <a:ext cx="3207721" cy="50184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244" tIns="0" rIns="121244" bIns="0" numCol="1" spcCol="1270" anchor="ctr" anchorCtr="0">
          <a:noAutofit/>
        </a:bodyPr>
        <a:lstStyle/>
        <a:p>
          <a:pPr marL="0" lvl="0" indent="0" algn="l" defTabSz="755650">
            <a:lnSpc>
              <a:spcPct val="90000"/>
            </a:lnSpc>
            <a:spcBef>
              <a:spcPct val="0"/>
            </a:spcBef>
            <a:spcAft>
              <a:spcPct val="35000"/>
            </a:spcAft>
            <a:buNone/>
          </a:pPr>
          <a:r>
            <a:rPr lang="en-US" sz="1700" kern="1200"/>
            <a:t>Step -3</a:t>
          </a:r>
        </a:p>
      </dsp:txBody>
      <dsp:txXfrm>
        <a:off x="253620" y="4101403"/>
        <a:ext cx="3158725" cy="452844"/>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17.png"/><Relationship Id="rId7" Type="http://schemas.openxmlformats.org/officeDocument/2006/relationships/image" Target="../media/image27.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xdr:from>
      <xdr:col>8</xdr:col>
      <xdr:colOff>300037</xdr:colOff>
      <xdr:row>4</xdr:row>
      <xdr:rowOff>57150</xdr:rowOff>
    </xdr:from>
    <xdr:to>
      <xdr:col>15</xdr:col>
      <xdr:colOff>71437</xdr:colOff>
      <xdr:row>26</xdr:row>
      <xdr:rowOff>47631</xdr:rowOff>
    </xdr:to>
    <xdr:graphicFrame macro="">
      <xdr:nvGraphicFramePr>
        <xdr:cNvPr id="3" name="Diagram 2">
          <a:extLst>
            <a:ext uri="{FF2B5EF4-FFF2-40B4-BE49-F238E27FC236}">
              <a16:creationId xmlns:a16="http://schemas.microsoft.com/office/drawing/2014/main" id="{6F156E73-CD0E-43E0-988D-802EB098FFF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1</xdr:row>
      <xdr:rowOff>0</xdr:rowOff>
    </xdr:from>
    <xdr:to>
      <xdr:col>3</xdr:col>
      <xdr:colOff>463550</xdr:colOff>
      <xdr:row>1</xdr:row>
      <xdr:rowOff>1181100</xdr:rowOff>
    </xdr:to>
    <xdr:pic>
      <xdr:nvPicPr>
        <xdr:cNvPr id="5" name="Picture 4">
          <a:extLst>
            <a:ext uri="{FF2B5EF4-FFF2-40B4-BE49-F238E27FC236}">
              <a16:creationId xmlns:a16="http://schemas.microsoft.com/office/drawing/2014/main" id="{C9EDC05B-65FC-4F21-B132-BC134CB6038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333" r="12000" b="21000"/>
        <a:stretch/>
      </xdr:blipFill>
      <xdr:spPr>
        <a:xfrm>
          <a:off x="57150" y="28575"/>
          <a:ext cx="3140075" cy="1181100"/>
        </a:xfrm>
        <a:prstGeom prst="rect">
          <a:avLst/>
        </a:prstGeom>
      </xdr:spPr>
    </xdr:pic>
    <xdr:clientData/>
  </xdr:twoCellAnchor>
  <xdr:twoCellAnchor>
    <xdr:from>
      <xdr:col>8</xdr:col>
      <xdr:colOff>238125</xdr:colOff>
      <xdr:row>1</xdr:row>
      <xdr:rowOff>1232648</xdr:rowOff>
    </xdr:from>
    <xdr:to>
      <xdr:col>11</xdr:col>
      <xdr:colOff>638175</xdr:colOff>
      <xdr:row>3</xdr:row>
      <xdr:rowOff>249150</xdr:rowOff>
    </xdr:to>
    <xdr:grpSp>
      <xdr:nvGrpSpPr>
        <xdr:cNvPr id="10" name="Group 6">
          <a:extLst>
            <a:ext uri="{FF2B5EF4-FFF2-40B4-BE49-F238E27FC236}">
              <a16:creationId xmlns:a16="http://schemas.microsoft.com/office/drawing/2014/main" id="{B4DCA971-3AF5-4D1F-B04F-7D3636C32570}"/>
            </a:ext>
          </a:extLst>
        </xdr:cNvPr>
        <xdr:cNvGrpSpPr/>
      </xdr:nvGrpSpPr>
      <xdr:grpSpPr>
        <a:xfrm>
          <a:off x="12478124" y="1262530"/>
          <a:ext cx="2461932" cy="779561"/>
          <a:chOff x="108877" y="667756"/>
          <a:chExt cx="2451100" cy="658724"/>
        </a:xfrm>
      </xdr:grpSpPr>
      <xdr:sp macro="" textlink="">
        <xdr:nvSpPr>
          <xdr:cNvPr id="11" name="TextBox 7">
            <a:extLst>
              <a:ext uri="{FF2B5EF4-FFF2-40B4-BE49-F238E27FC236}">
                <a16:creationId xmlns:a16="http://schemas.microsoft.com/office/drawing/2014/main" id="{73FD0FEC-E7A0-41EF-A1F7-6E3ACC03CB30}"/>
              </a:ext>
            </a:extLst>
          </xdr:cNvPr>
          <xdr:cNvSpPr txBox="1"/>
        </xdr:nvSpPr>
        <xdr:spPr>
          <a:xfrm>
            <a:off x="108877" y="667756"/>
            <a:ext cx="2451100" cy="658724"/>
          </a:xfrm>
          <a:prstGeom prst="rect">
            <a:avLst/>
          </a:prstGeom>
          <a:solidFill>
            <a:schemeClr val="tx1">
              <a:lumMod val="20000"/>
              <a:lumOff val="80000"/>
            </a:schemeClr>
          </a:solidFill>
        </xdr:spPr>
        <xdr:txBody>
          <a:bodyPr vertOverflow="clip" horzOverflow="clip" wrap="square" rtlCol="0" anchor="t"/>
          <a:lstStyle/>
          <a:p>
            <a:r>
              <a:rPr lang="en-GB" sz="1100" b="1">
                <a:solidFill>
                  <a:sysClr val="windowText" lastClr="000000"/>
                </a:solidFill>
              </a:rPr>
              <a:t>Key </a:t>
            </a:r>
          </a:p>
          <a:p>
            <a:r>
              <a:rPr lang="en-GB" sz="1100">
                <a:solidFill>
                  <a:sysClr val="windowText" lastClr="000000"/>
                </a:solidFill>
              </a:rPr>
              <a:t>Cell to</a:t>
            </a:r>
            <a:r>
              <a:rPr lang="en-GB" sz="1100" baseline="0">
                <a:solidFill>
                  <a:sysClr val="windowText" lastClr="000000"/>
                </a:solidFill>
              </a:rPr>
              <a:t> fill </a:t>
            </a:r>
            <a:endParaRPr lang="en-GB" sz="1100">
              <a:solidFill>
                <a:sysClr val="windowText" lastClr="000000"/>
              </a:solidFill>
            </a:endParaRPr>
          </a:p>
        </xdr:txBody>
      </xdr:sp>
      <xdr:sp macro="" textlink="">
        <xdr:nvSpPr>
          <xdr:cNvPr id="12" name="Rectangle 8">
            <a:extLst>
              <a:ext uri="{FF2B5EF4-FFF2-40B4-BE49-F238E27FC236}">
                <a16:creationId xmlns:a16="http://schemas.microsoft.com/office/drawing/2014/main" id="{6917E65F-3CD4-4413-94AE-6901B02CF40D}"/>
              </a:ext>
            </a:extLst>
          </xdr:cNvPr>
          <xdr:cNvSpPr/>
        </xdr:nvSpPr>
        <xdr:spPr>
          <a:xfrm>
            <a:off x="1064193" y="804281"/>
            <a:ext cx="1285156" cy="257895"/>
          </a:xfrm>
          <a:prstGeom prst="rect">
            <a:avLst/>
          </a:prstGeom>
          <a:solidFill>
            <a:srgbClr val="FFFF00"/>
          </a:solidFill>
          <a:ln w="28575">
            <a:solidFill>
              <a:schemeClr val="tx2"/>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xdr:col>
      <xdr:colOff>276225</xdr:colOff>
      <xdr:row>12</xdr:row>
      <xdr:rowOff>209550</xdr:rowOff>
    </xdr:to>
    <xdr:pic>
      <xdr:nvPicPr>
        <xdr:cNvPr id="7" name="Picture 6">
          <a:extLst>
            <a:ext uri="{FF2B5EF4-FFF2-40B4-BE49-F238E27FC236}">
              <a16:creationId xmlns:a16="http://schemas.microsoft.com/office/drawing/2014/main" id="{6113D205-F437-4E82-A264-15E43ADD9B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5800" y="2390775"/>
          <a:ext cx="2762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xdr:col>
      <xdr:colOff>381000</xdr:colOff>
      <xdr:row>27</xdr:row>
      <xdr:rowOff>200025</xdr:rowOff>
    </xdr:to>
    <xdr:pic>
      <xdr:nvPicPr>
        <xdr:cNvPr id="9" name="Picture 8">
          <a:extLst>
            <a:ext uri="{FF2B5EF4-FFF2-40B4-BE49-F238E27FC236}">
              <a16:creationId xmlns:a16="http://schemas.microsoft.com/office/drawing/2014/main" id="{144A48D4-A9D2-4B97-B759-27CEDC08235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5800" y="5505450"/>
          <a:ext cx="3810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56</xdr:row>
      <xdr:rowOff>0</xdr:rowOff>
    </xdr:from>
    <xdr:to>
      <xdr:col>1</xdr:col>
      <xdr:colOff>247650</xdr:colOff>
      <xdr:row>56</xdr:row>
      <xdr:rowOff>209550</xdr:rowOff>
    </xdr:to>
    <xdr:pic>
      <xdr:nvPicPr>
        <xdr:cNvPr id="11" name="Picture 10">
          <a:extLst>
            <a:ext uri="{FF2B5EF4-FFF2-40B4-BE49-F238E27FC236}">
              <a16:creationId xmlns:a16="http://schemas.microsoft.com/office/drawing/2014/main" id="{EF09CC78-0033-4D32-AD90-A3FE6ABC043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5800" y="3876675"/>
          <a:ext cx="2476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137584</xdr:colOff>
      <xdr:row>40</xdr:row>
      <xdr:rowOff>0</xdr:rowOff>
    </xdr:from>
    <xdr:to>
      <xdr:col>1</xdr:col>
      <xdr:colOff>413809</xdr:colOff>
      <xdr:row>40</xdr:row>
      <xdr:rowOff>261408</xdr:rowOff>
    </xdr:to>
    <xdr:pic>
      <xdr:nvPicPr>
        <xdr:cNvPr id="30" name="Picture 29">
          <a:extLst>
            <a:ext uri="{FF2B5EF4-FFF2-40B4-BE49-F238E27FC236}">
              <a16:creationId xmlns:a16="http://schemas.microsoft.com/office/drawing/2014/main" id="{F30B4427-CF17-4921-A932-0C45D598AF07}"/>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5501" y="6360583"/>
          <a:ext cx="276225" cy="303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26</xdr:row>
      <xdr:rowOff>15524</xdr:rowOff>
    </xdr:from>
    <xdr:to>
      <xdr:col>1</xdr:col>
      <xdr:colOff>412749</xdr:colOff>
      <xdr:row>26</xdr:row>
      <xdr:rowOff>253999</xdr:rowOff>
    </xdr:to>
    <xdr:pic>
      <xdr:nvPicPr>
        <xdr:cNvPr id="31" name="Picture 30">
          <a:extLst>
            <a:ext uri="{FF2B5EF4-FFF2-40B4-BE49-F238E27FC236}">
              <a16:creationId xmlns:a16="http://schemas.microsoft.com/office/drawing/2014/main" id="{69471C83-3701-4446-8837-16124666099F}"/>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9667" y="3730274"/>
          <a:ext cx="380999" cy="2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56030</xdr:colOff>
      <xdr:row>17</xdr:row>
      <xdr:rowOff>33618</xdr:rowOff>
    </xdr:from>
    <xdr:to>
      <xdr:col>1</xdr:col>
      <xdr:colOff>551330</xdr:colOff>
      <xdr:row>17</xdr:row>
      <xdr:rowOff>233643</xdr:rowOff>
    </xdr:to>
    <xdr:pic>
      <xdr:nvPicPr>
        <xdr:cNvPr id="3" name="Picture 2">
          <a:extLst>
            <a:ext uri="{FF2B5EF4-FFF2-40B4-BE49-F238E27FC236}">
              <a16:creationId xmlns:a16="http://schemas.microsoft.com/office/drawing/2014/main" id="{E43103AC-4DD5-5671-E715-F4B3E3FB2DF7}"/>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7030" y="3216089"/>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xdr:row>
      <xdr:rowOff>0</xdr:rowOff>
    </xdr:from>
    <xdr:to>
      <xdr:col>1</xdr:col>
      <xdr:colOff>762000</xdr:colOff>
      <xdr:row>21</xdr:row>
      <xdr:rowOff>200025</xdr:rowOff>
    </xdr:to>
    <xdr:pic>
      <xdr:nvPicPr>
        <xdr:cNvPr id="14" name="Picture 13">
          <a:extLst>
            <a:ext uri="{FF2B5EF4-FFF2-40B4-BE49-F238E27FC236}">
              <a16:creationId xmlns:a16="http://schemas.microsoft.com/office/drawing/2014/main" id="{3186018A-DB8A-1F06-4082-115844C47328}"/>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4276725"/>
          <a:ext cx="7620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44</xdr:row>
      <xdr:rowOff>56030</xdr:rowOff>
    </xdr:from>
    <xdr:to>
      <xdr:col>1</xdr:col>
      <xdr:colOff>1181660</xdr:colOff>
      <xdr:row>44</xdr:row>
      <xdr:rowOff>265580</xdr:rowOff>
    </xdr:to>
    <xdr:pic>
      <xdr:nvPicPr>
        <xdr:cNvPr id="15" name="Picture 14">
          <a:extLst>
            <a:ext uri="{FF2B5EF4-FFF2-40B4-BE49-F238E27FC236}">
              <a16:creationId xmlns:a16="http://schemas.microsoft.com/office/drawing/2014/main" id="{44CF3558-960A-1F9D-8623-DAF1AEA7B196}"/>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11631706"/>
          <a:ext cx="137216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168087</xdr:colOff>
      <xdr:row>54</xdr:row>
      <xdr:rowOff>89647</xdr:rowOff>
    </xdr:from>
    <xdr:to>
      <xdr:col>3</xdr:col>
      <xdr:colOff>2087655</xdr:colOff>
      <xdr:row>55</xdr:row>
      <xdr:rowOff>19050</xdr:rowOff>
    </xdr:to>
    <xdr:pic>
      <xdr:nvPicPr>
        <xdr:cNvPr id="16" name="Picture 15">
          <a:extLst>
            <a:ext uri="{FF2B5EF4-FFF2-40B4-BE49-F238E27FC236}">
              <a16:creationId xmlns:a16="http://schemas.microsoft.com/office/drawing/2014/main" id="{AC24087E-3E37-B011-5389-49CE893634D7}"/>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6705" y="14063382"/>
          <a:ext cx="1919568"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0</xdr:rowOff>
    </xdr:from>
    <xdr:to>
      <xdr:col>1</xdr:col>
      <xdr:colOff>581025</xdr:colOff>
      <xdr:row>59</xdr:row>
      <xdr:rowOff>209550</xdr:rowOff>
    </xdr:to>
    <xdr:pic>
      <xdr:nvPicPr>
        <xdr:cNvPr id="17" name="Picture 16">
          <a:extLst>
            <a:ext uri="{FF2B5EF4-FFF2-40B4-BE49-F238E27FC236}">
              <a16:creationId xmlns:a16="http://schemas.microsoft.com/office/drawing/2014/main" id="{25197E03-84EE-7499-1399-07E644436548}"/>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4792325"/>
          <a:ext cx="581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0</xdr:rowOff>
    </xdr:from>
    <xdr:to>
      <xdr:col>1</xdr:col>
      <xdr:colOff>581025</xdr:colOff>
      <xdr:row>11</xdr:row>
      <xdr:rowOff>209550</xdr:rowOff>
    </xdr:to>
    <xdr:pic>
      <xdr:nvPicPr>
        <xdr:cNvPr id="18" name="Picture 17">
          <a:extLst>
            <a:ext uri="{FF2B5EF4-FFF2-40B4-BE49-F238E27FC236}">
              <a16:creationId xmlns:a16="http://schemas.microsoft.com/office/drawing/2014/main" id="{D61C23D1-BB2D-EE04-AFCE-6EF0DD0A256D}"/>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14475"/>
          <a:ext cx="581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369794</xdr:colOff>
      <xdr:row>58</xdr:row>
      <xdr:rowOff>67235</xdr:rowOff>
    </xdr:from>
    <xdr:to>
      <xdr:col>1</xdr:col>
      <xdr:colOff>674594</xdr:colOff>
      <xdr:row>58</xdr:row>
      <xdr:rowOff>276785</xdr:rowOff>
    </xdr:to>
    <xdr:pic>
      <xdr:nvPicPr>
        <xdr:cNvPr id="19" name="Picture 18">
          <a:extLst>
            <a:ext uri="{FF2B5EF4-FFF2-40B4-BE49-F238E27FC236}">
              <a16:creationId xmlns:a16="http://schemas.microsoft.com/office/drawing/2014/main" id="{5427CF5B-8D6D-FD2E-4241-D6EB9F90BB91}"/>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794" y="14623676"/>
          <a:ext cx="6858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851647</xdr:colOff>
      <xdr:row>8</xdr:row>
      <xdr:rowOff>89647</xdr:rowOff>
    </xdr:from>
    <xdr:to>
      <xdr:col>4</xdr:col>
      <xdr:colOff>392206</xdr:colOff>
      <xdr:row>9</xdr:row>
      <xdr:rowOff>691402</xdr:rowOff>
    </xdr:to>
    <xdr:pic>
      <xdr:nvPicPr>
        <xdr:cNvPr id="20" name="Picture 19">
          <a:extLst>
            <a:ext uri="{FF2B5EF4-FFF2-40B4-BE49-F238E27FC236}">
              <a16:creationId xmlns:a16="http://schemas.microsoft.com/office/drawing/2014/main" id="{3C903951-51B4-39A8-2612-2E40F42EB5DE}"/>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2647" y="448235"/>
          <a:ext cx="5939118" cy="135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12</xdr:row>
      <xdr:rowOff>0</xdr:rowOff>
    </xdr:from>
    <xdr:to>
      <xdr:col>10</xdr:col>
      <xdr:colOff>276225</xdr:colOff>
      <xdr:row>12</xdr:row>
      <xdr:rowOff>209550</xdr:rowOff>
    </xdr:to>
    <xdr:pic>
      <xdr:nvPicPr>
        <xdr:cNvPr id="22" name="Picture 21">
          <a:extLst>
            <a:ext uri="{FF2B5EF4-FFF2-40B4-BE49-F238E27FC236}">
              <a16:creationId xmlns:a16="http://schemas.microsoft.com/office/drawing/2014/main" id="{A1C3D833-F2FD-463E-A3E5-48CBC74A409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790700"/>
          <a:ext cx="2762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27</xdr:row>
      <xdr:rowOff>0</xdr:rowOff>
    </xdr:from>
    <xdr:to>
      <xdr:col>10</xdr:col>
      <xdr:colOff>381000</xdr:colOff>
      <xdr:row>27</xdr:row>
      <xdr:rowOff>200025</xdr:rowOff>
    </xdr:to>
    <xdr:pic>
      <xdr:nvPicPr>
        <xdr:cNvPr id="23" name="Picture 22">
          <a:extLst>
            <a:ext uri="{FF2B5EF4-FFF2-40B4-BE49-F238E27FC236}">
              <a16:creationId xmlns:a16="http://schemas.microsoft.com/office/drawing/2014/main" id="{C5FA3D4D-6A17-40F3-BEB4-54D961DECFA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5934075"/>
          <a:ext cx="3810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56</xdr:row>
      <xdr:rowOff>0</xdr:rowOff>
    </xdr:from>
    <xdr:to>
      <xdr:col>10</xdr:col>
      <xdr:colOff>247650</xdr:colOff>
      <xdr:row>56</xdr:row>
      <xdr:rowOff>209550</xdr:rowOff>
    </xdr:to>
    <xdr:pic>
      <xdr:nvPicPr>
        <xdr:cNvPr id="24" name="Picture 23">
          <a:extLst>
            <a:ext uri="{FF2B5EF4-FFF2-40B4-BE49-F238E27FC236}">
              <a16:creationId xmlns:a16="http://schemas.microsoft.com/office/drawing/2014/main" id="{B4DDD3DB-C403-4AF4-B894-3C1A6102327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3849350"/>
          <a:ext cx="2476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137584</xdr:colOff>
      <xdr:row>40</xdr:row>
      <xdr:rowOff>0</xdr:rowOff>
    </xdr:from>
    <xdr:to>
      <xdr:col>10</xdr:col>
      <xdr:colOff>413809</xdr:colOff>
      <xdr:row>40</xdr:row>
      <xdr:rowOff>261408</xdr:rowOff>
    </xdr:to>
    <xdr:pic>
      <xdr:nvPicPr>
        <xdr:cNvPr id="25" name="Picture 24">
          <a:extLst>
            <a:ext uri="{FF2B5EF4-FFF2-40B4-BE49-F238E27FC236}">
              <a16:creationId xmlns:a16="http://schemas.microsoft.com/office/drawing/2014/main" id="{4EF09BCC-605A-4D18-8BBC-B93D97BF718A}"/>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8584" y="9525000"/>
          <a:ext cx="276225" cy="261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31750</xdr:colOff>
      <xdr:row>26</xdr:row>
      <xdr:rowOff>15524</xdr:rowOff>
    </xdr:from>
    <xdr:to>
      <xdr:col>10</xdr:col>
      <xdr:colOff>412749</xdr:colOff>
      <xdr:row>26</xdr:row>
      <xdr:rowOff>253999</xdr:rowOff>
    </xdr:to>
    <xdr:pic>
      <xdr:nvPicPr>
        <xdr:cNvPr id="26" name="Picture 25">
          <a:extLst>
            <a:ext uri="{FF2B5EF4-FFF2-40B4-BE49-F238E27FC236}">
              <a16:creationId xmlns:a16="http://schemas.microsoft.com/office/drawing/2014/main" id="{8721B852-7030-4548-8E9A-2EAC9DE71E6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2750" y="5673374"/>
          <a:ext cx="380999" cy="2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56030</xdr:colOff>
      <xdr:row>17</xdr:row>
      <xdr:rowOff>33618</xdr:rowOff>
    </xdr:from>
    <xdr:to>
      <xdr:col>10</xdr:col>
      <xdr:colOff>551330</xdr:colOff>
      <xdr:row>17</xdr:row>
      <xdr:rowOff>233643</xdr:rowOff>
    </xdr:to>
    <xdr:pic>
      <xdr:nvPicPr>
        <xdr:cNvPr id="28" name="Picture 27">
          <a:extLst>
            <a:ext uri="{FF2B5EF4-FFF2-40B4-BE49-F238E27FC236}">
              <a16:creationId xmlns:a16="http://schemas.microsoft.com/office/drawing/2014/main" id="{A1838C97-9FCC-4953-8AD5-E1FB6CC5D432}"/>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7030" y="3205443"/>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21</xdr:row>
      <xdr:rowOff>0</xdr:rowOff>
    </xdr:from>
    <xdr:to>
      <xdr:col>10</xdr:col>
      <xdr:colOff>762000</xdr:colOff>
      <xdr:row>21</xdr:row>
      <xdr:rowOff>200025</xdr:rowOff>
    </xdr:to>
    <xdr:pic>
      <xdr:nvPicPr>
        <xdr:cNvPr id="29" name="Picture 28">
          <a:extLst>
            <a:ext uri="{FF2B5EF4-FFF2-40B4-BE49-F238E27FC236}">
              <a16:creationId xmlns:a16="http://schemas.microsoft.com/office/drawing/2014/main" id="{6BB947EA-2B00-4A8D-9085-DFE9FE45AC88}"/>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4276725"/>
          <a:ext cx="7620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11</xdr:row>
      <xdr:rowOff>0</xdr:rowOff>
    </xdr:from>
    <xdr:to>
      <xdr:col>10</xdr:col>
      <xdr:colOff>523875</xdr:colOff>
      <xdr:row>11</xdr:row>
      <xdr:rowOff>209550</xdr:rowOff>
    </xdr:to>
    <xdr:pic>
      <xdr:nvPicPr>
        <xdr:cNvPr id="32" name="Picture 31">
          <a:extLst>
            <a:ext uri="{FF2B5EF4-FFF2-40B4-BE49-F238E27FC236}">
              <a16:creationId xmlns:a16="http://schemas.microsoft.com/office/drawing/2014/main" id="{87205DFF-6F84-4177-B734-3F2AF1D340CF}"/>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14475"/>
          <a:ext cx="523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1019736</xdr:colOff>
      <xdr:row>8</xdr:row>
      <xdr:rowOff>22412</xdr:rowOff>
    </xdr:from>
    <xdr:to>
      <xdr:col>13</xdr:col>
      <xdr:colOff>560295</xdr:colOff>
      <xdr:row>9</xdr:row>
      <xdr:rowOff>460562</xdr:rowOff>
    </xdr:to>
    <xdr:pic>
      <xdr:nvPicPr>
        <xdr:cNvPr id="33" name="Picture 32">
          <a:extLst>
            <a:ext uri="{FF2B5EF4-FFF2-40B4-BE49-F238E27FC236}">
              <a16:creationId xmlns:a16="http://schemas.microsoft.com/office/drawing/2014/main" id="{DCFE5223-90AA-40C0-9403-C03A90B5EC2E}"/>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736" y="384362"/>
          <a:ext cx="5941359"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22412</xdr:colOff>
      <xdr:row>54</xdr:row>
      <xdr:rowOff>89647</xdr:rowOff>
    </xdr:from>
    <xdr:to>
      <xdr:col>12</xdr:col>
      <xdr:colOff>2470897</xdr:colOff>
      <xdr:row>55</xdr:row>
      <xdr:rowOff>203947</xdr:rowOff>
    </xdr:to>
    <xdr:pic>
      <xdr:nvPicPr>
        <xdr:cNvPr id="34" name="Picture 33">
          <a:extLst>
            <a:ext uri="{FF2B5EF4-FFF2-40B4-BE49-F238E27FC236}">
              <a16:creationId xmlns:a16="http://schemas.microsoft.com/office/drawing/2014/main" id="{CD274319-C407-49A4-A337-029023B50F3D}"/>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3087" y="13386547"/>
          <a:ext cx="280091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369794</xdr:colOff>
      <xdr:row>58</xdr:row>
      <xdr:rowOff>100853</xdr:rowOff>
    </xdr:from>
    <xdr:to>
      <xdr:col>10</xdr:col>
      <xdr:colOff>407894</xdr:colOff>
      <xdr:row>58</xdr:row>
      <xdr:rowOff>310403</xdr:rowOff>
    </xdr:to>
    <xdr:pic>
      <xdr:nvPicPr>
        <xdr:cNvPr id="35" name="Picture 34">
          <a:extLst>
            <a:ext uri="{FF2B5EF4-FFF2-40B4-BE49-F238E27FC236}">
              <a16:creationId xmlns:a16="http://schemas.microsoft.com/office/drawing/2014/main" id="{38A53968-192A-4734-AA7C-5C7150A82093}"/>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794" y="14502653"/>
          <a:ext cx="4191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59</xdr:row>
      <xdr:rowOff>0</xdr:rowOff>
    </xdr:from>
    <xdr:to>
      <xdr:col>10</xdr:col>
      <xdr:colOff>523875</xdr:colOff>
      <xdr:row>59</xdr:row>
      <xdr:rowOff>209550</xdr:rowOff>
    </xdr:to>
    <xdr:pic>
      <xdr:nvPicPr>
        <xdr:cNvPr id="36" name="Picture 35">
          <a:extLst>
            <a:ext uri="{FF2B5EF4-FFF2-40B4-BE49-F238E27FC236}">
              <a16:creationId xmlns:a16="http://schemas.microsoft.com/office/drawing/2014/main" id="{B9EA8BB1-480B-451F-9ED5-BB6F97802711}"/>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4792325"/>
          <a:ext cx="523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60</xdr:row>
      <xdr:rowOff>0</xdr:rowOff>
    </xdr:from>
    <xdr:to>
      <xdr:col>10</xdr:col>
      <xdr:colOff>219075</xdr:colOff>
      <xdr:row>60</xdr:row>
      <xdr:rowOff>209550</xdr:rowOff>
    </xdr:to>
    <xdr:pic>
      <xdr:nvPicPr>
        <xdr:cNvPr id="37" name="Picture 36">
          <a:extLst>
            <a:ext uri="{FF2B5EF4-FFF2-40B4-BE49-F238E27FC236}">
              <a16:creationId xmlns:a16="http://schemas.microsoft.com/office/drawing/2014/main" id="{AAACE2EF-D3CA-4033-9395-87CF67B6921C}"/>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068550"/>
          <a:ext cx="219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61</xdr:row>
      <xdr:rowOff>0</xdr:rowOff>
    </xdr:from>
    <xdr:to>
      <xdr:col>10</xdr:col>
      <xdr:colOff>219075</xdr:colOff>
      <xdr:row>61</xdr:row>
      <xdr:rowOff>228600</xdr:rowOff>
    </xdr:to>
    <xdr:pic>
      <xdr:nvPicPr>
        <xdr:cNvPr id="38" name="Picture 37">
          <a:extLst>
            <a:ext uri="{FF2B5EF4-FFF2-40B4-BE49-F238E27FC236}">
              <a16:creationId xmlns:a16="http://schemas.microsoft.com/office/drawing/2014/main" id="{DBF5ADE8-9928-4CE0-B977-E78F4AD14AFF}"/>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249525"/>
          <a:ext cx="219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168088</xdr:colOff>
      <xdr:row>44</xdr:row>
      <xdr:rowOff>0</xdr:rowOff>
    </xdr:from>
    <xdr:to>
      <xdr:col>10</xdr:col>
      <xdr:colOff>291913</xdr:colOff>
      <xdr:row>44</xdr:row>
      <xdr:rowOff>209550</xdr:rowOff>
    </xdr:to>
    <xdr:pic>
      <xdr:nvPicPr>
        <xdr:cNvPr id="39" name="Picture 38">
          <a:extLst>
            <a:ext uri="{FF2B5EF4-FFF2-40B4-BE49-F238E27FC236}">
              <a16:creationId xmlns:a16="http://schemas.microsoft.com/office/drawing/2014/main" id="{E63DD018-949E-4DCC-8FC9-E64C678EE30A}"/>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9088" y="10629900"/>
          <a:ext cx="1238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64</xdr:row>
      <xdr:rowOff>0</xdr:rowOff>
    </xdr:from>
    <xdr:to>
      <xdr:col>10</xdr:col>
      <xdr:colOff>285750</xdr:colOff>
      <xdr:row>64</xdr:row>
      <xdr:rowOff>246529</xdr:rowOff>
    </xdr:to>
    <xdr:pic>
      <xdr:nvPicPr>
        <xdr:cNvPr id="40" name="Picture 39">
          <a:extLst>
            <a:ext uri="{FF2B5EF4-FFF2-40B4-BE49-F238E27FC236}">
              <a16:creationId xmlns:a16="http://schemas.microsoft.com/office/drawing/2014/main" id="{5BAA861A-ABA0-4C3D-B637-A2B872B6CEB8}"/>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887700"/>
          <a:ext cx="285750" cy="179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1</xdr:col>
      <xdr:colOff>247650</xdr:colOff>
      <xdr:row>3</xdr:row>
      <xdr:rowOff>209550</xdr:rowOff>
    </xdr:to>
    <xdr:pic>
      <xdr:nvPicPr>
        <xdr:cNvPr id="41" name="Picture 40">
          <a:extLst>
            <a:ext uri="{FF2B5EF4-FFF2-40B4-BE49-F238E27FC236}">
              <a16:creationId xmlns:a16="http://schemas.microsoft.com/office/drawing/2014/main" id="{2C96C8A0-AC45-4F90-82FB-42B5661914D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544286"/>
          <a:ext cx="2476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171450</xdr:rowOff>
    </xdr:from>
    <xdr:to>
      <xdr:col>3</xdr:col>
      <xdr:colOff>1638300</xdr:colOff>
      <xdr:row>23</xdr:row>
      <xdr:rowOff>142875</xdr:rowOff>
    </xdr:to>
    <xdr:pic>
      <xdr:nvPicPr>
        <xdr:cNvPr id="11" name="Picture 10">
          <a:extLst>
            <a:ext uri="{FF2B5EF4-FFF2-40B4-BE49-F238E27FC236}">
              <a16:creationId xmlns:a16="http://schemas.microsoft.com/office/drawing/2014/main" id="{E88089F8-639B-41C4-8AA6-3BB52661EB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7306925"/>
          <a:ext cx="3200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24</xdr:row>
      <xdr:rowOff>0</xdr:rowOff>
    </xdr:from>
    <xdr:to>
      <xdr:col>1</xdr:col>
      <xdr:colOff>238125</xdr:colOff>
      <xdr:row>24</xdr:row>
      <xdr:rowOff>209550</xdr:rowOff>
    </xdr:to>
    <xdr:pic>
      <xdr:nvPicPr>
        <xdr:cNvPr id="6" name="Picture 11">
          <a:extLst>
            <a:ext uri="{FF2B5EF4-FFF2-40B4-BE49-F238E27FC236}">
              <a16:creationId xmlns:a16="http://schemas.microsoft.com/office/drawing/2014/main" id="{C7F58B10-62DF-482E-AEF7-32B514B74F5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7678400"/>
          <a:ext cx="2381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0</xdr:rowOff>
    </xdr:from>
    <xdr:to>
      <xdr:col>1</xdr:col>
      <xdr:colOff>419100</xdr:colOff>
      <xdr:row>26</xdr:row>
      <xdr:rowOff>209550</xdr:rowOff>
    </xdr:to>
    <xdr:pic>
      <xdr:nvPicPr>
        <xdr:cNvPr id="13" name="Picture 12">
          <a:extLst>
            <a:ext uri="{FF2B5EF4-FFF2-40B4-BE49-F238E27FC236}">
              <a16:creationId xmlns:a16="http://schemas.microsoft.com/office/drawing/2014/main" id="{FEB48CE2-3BE4-40E1-BD6B-39C114282A4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7916525"/>
          <a:ext cx="4191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xdr:col>
      <xdr:colOff>342900</xdr:colOff>
      <xdr:row>27</xdr:row>
      <xdr:rowOff>209550</xdr:rowOff>
    </xdr:to>
    <xdr:pic>
      <xdr:nvPicPr>
        <xdr:cNvPr id="14" name="Picture 13">
          <a:extLst>
            <a:ext uri="{FF2B5EF4-FFF2-40B4-BE49-F238E27FC236}">
              <a16:creationId xmlns:a16="http://schemas.microsoft.com/office/drawing/2014/main" id="{509E0D9F-F096-426D-87C1-7F8353473D95}"/>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8326100"/>
          <a:ext cx="3429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xdr:col>
      <xdr:colOff>390525</xdr:colOff>
      <xdr:row>28</xdr:row>
      <xdr:rowOff>209550</xdr:rowOff>
    </xdr:to>
    <xdr:pic>
      <xdr:nvPicPr>
        <xdr:cNvPr id="15" name="Picture 14">
          <a:extLst>
            <a:ext uri="{FF2B5EF4-FFF2-40B4-BE49-F238E27FC236}">
              <a16:creationId xmlns:a16="http://schemas.microsoft.com/office/drawing/2014/main" id="{F31335F8-27FF-4345-9C7D-61F837AE75D6}"/>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8754725"/>
          <a:ext cx="3905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xdr:row>
      <xdr:rowOff>0</xdr:rowOff>
    </xdr:from>
    <xdr:to>
      <xdr:col>1</xdr:col>
      <xdr:colOff>419100</xdr:colOff>
      <xdr:row>12</xdr:row>
      <xdr:rowOff>209550</xdr:rowOff>
    </xdr:to>
    <xdr:pic>
      <xdr:nvPicPr>
        <xdr:cNvPr id="7" name="Picture 6">
          <a:extLst>
            <a:ext uri="{FF2B5EF4-FFF2-40B4-BE49-F238E27FC236}">
              <a16:creationId xmlns:a16="http://schemas.microsoft.com/office/drawing/2014/main" id="{430CE64D-7166-42B7-8A6C-8D7D35361A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4658975"/>
          <a:ext cx="4191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698500</xdr:colOff>
      <xdr:row>9</xdr:row>
      <xdr:rowOff>10582</xdr:rowOff>
    </xdr:from>
    <xdr:to>
      <xdr:col>3</xdr:col>
      <xdr:colOff>1431925</xdr:colOff>
      <xdr:row>10</xdr:row>
      <xdr:rowOff>162983</xdr:rowOff>
    </xdr:to>
    <xdr:pic>
      <xdr:nvPicPr>
        <xdr:cNvPr id="8" name="Picture 7">
          <a:extLst>
            <a:ext uri="{FF2B5EF4-FFF2-40B4-BE49-F238E27FC236}">
              <a16:creationId xmlns:a16="http://schemas.microsoft.com/office/drawing/2014/main" id="{2C35AAA6-AB54-47DD-AA94-C47CA01143D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9500" y="14126632"/>
          <a:ext cx="2295525" cy="333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81492</xdr:colOff>
      <xdr:row>16</xdr:row>
      <xdr:rowOff>169334</xdr:rowOff>
    </xdr:from>
    <xdr:to>
      <xdr:col>1</xdr:col>
      <xdr:colOff>405342</xdr:colOff>
      <xdr:row>18</xdr:row>
      <xdr:rowOff>17991</xdr:rowOff>
    </xdr:to>
    <xdr:pic>
      <xdr:nvPicPr>
        <xdr:cNvPr id="9" name="Picture 8">
          <a:extLst>
            <a:ext uri="{FF2B5EF4-FFF2-40B4-BE49-F238E27FC236}">
              <a16:creationId xmlns:a16="http://schemas.microsoft.com/office/drawing/2014/main" id="{D6466DD0-3635-4721-96BD-58AD2F799C9E}"/>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2492" y="3969809"/>
          <a:ext cx="323850" cy="21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46</xdr:row>
      <xdr:rowOff>0</xdr:rowOff>
    </xdr:from>
    <xdr:to>
      <xdr:col>1</xdr:col>
      <xdr:colOff>238125</xdr:colOff>
      <xdr:row>46</xdr:row>
      <xdr:rowOff>209550</xdr:rowOff>
    </xdr:to>
    <xdr:pic>
      <xdr:nvPicPr>
        <xdr:cNvPr id="20" name="Picture 15">
          <a:extLst>
            <a:ext uri="{FF2B5EF4-FFF2-40B4-BE49-F238E27FC236}">
              <a16:creationId xmlns:a16="http://schemas.microsoft.com/office/drawing/2014/main" id="{513F2CAB-18F5-427E-B5D3-F4D62417130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4466167"/>
          <a:ext cx="2349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65</xdr:row>
      <xdr:rowOff>0</xdr:rowOff>
    </xdr:from>
    <xdr:to>
      <xdr:col>1</xdr:col>
      <xdr:colOff>238125</xdr:colOff>
      <xdr:row>65</xdr:row>
      <xdr:rowOff>209550</xdr:rowOff>
    </xdr:to>
    <xdr:pic>
      <xdr:nvPicPr>
        <xdr:cNvPr id="24" name="Picture 18">
          <a:extLst>
            <a:ext uri="{FF2B5EF4-FFF2-40B4-BE49-F238E27FC236}">
              <a16:creationId xmlns:a16="http://schemas.microsoft.com/office/drawing/2014/main" id="{BC33EA04-77EE-4D27-A40C-F4EAC2F9802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0551583"/>
          <a:ext cx="2349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1</xdr:col>
      <xdr:colOff>238125</xdr:colOff>
      <xdr:row>3</xdr:row>
      <xdr:rowOff>209550</xdr:rowOff>
    </xdr:to>
    <xdr:pic>
      <xdr:nvPicPr>
        <xdr:cNvPr id="26" name="Picture 19">
          <a:extLst>
            <a:ext uri="{FF2B5EF4-FFF2-40B4-BE49-F238E27FC236}">
              <a16:creationId xmlns:a16="http://schemas.microsoft.com/office/drawing/2014/main" id="{62C5FC6C-AFFA-4276-B73C-6C38D942D82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5388167"/>
          <a:ext cx="2349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32</xdr:row>
      <xdr:rowOff>9525</xdr:rowOff>
    </xdr:from>
    <xdr:to>
      <xdr:col>3</xdr:col>
      <xdr:colOff>676275</xdr:colOff>
      <xdr:row>33</xdr:row>
      <xdr:rowOff>161925</xdr:rowOff>
    </xdr:to>
    <xdr:pic>
      <xdr:nvPicPr>
        <xdr:cNvPr id="2" name="Picture 1">
          <a:extLst>
            <a:ext uri="{FF2B5EF4-FFF2-40B4-BE49-F238E27FC236}">
              <a16:creationId xmlns:a16="http://schemas.microsoft.com/office/drawing/2014/main" id="{3DC1DBF2-5160-A62A-165F-88C09D8AFBE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7448550"/>
          <a:ext cx="24955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51</xdr:row>
      <xdr:rowOff>0</xdr:rowOff>
    </xdr:from>
    <xdr:to>
      <xdr:col>3</xdr:col>
      <xdr:colOff>685800</xdr:colOff>
      <xdr:row>52</xdr:row>
      <xdr:rowOff>152400</xdr:rowOff>
    </xdr:to>
    <xdr:pic>
      <xdr:nvPicPr>
        <xdr:cNvPr id="3" name="Picture 2">
          <a:extLst>
            <a:ext uri="{FF2B5EF4-FFF2-40B4-BE49-F238E27FC236}">
              <a16:creationId xmlns:a16="http://schemas.microsoft.com/office/drawing/2014/main" id="{8446E230-0BF4-4470-AC14-94F946C2C2CD}"/>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12258675"/>
          <a:ext cx="24955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857252</xdr:colOff>
      <xdr:row>1</xdr:row>
      <xdr:rowOff>107156</xdr:rowOff>
    </xdr:from>
    <xdr:to>
      <xdr:col>3</xdr:col>
      <xdr:colOff>1035845</xdr:colOff>
      <xdr:row>5</xdr:row>
      <xdr:rowOff>178593</xdr:rowOff>
    </xdr:to>
    <xdr:sp macro="" textlink="">
      <xdr:nvSpPr>
        <xdr:cNvPr id="2" name="Callout: Down Arrow 1">
          <a:extLst>
            <a:ext uri="{FF2B5EF4-FFF2-40B4-BE49-F238E27FC236}">
              <a16:creationId xmlns:a16="http://schemas.microsoft.com/office/drawing/2014/main" id="{AFB23314-7318-4CFE-A1E3-B98998F84C04}"/>
            </a:ext>
          </a:extLst>
        </xdr:cNvPr>
        <xdr:cNvSpPr/>
      </xdr:nvSpPr>
      <xdr:spPr>
        <a:xfrm>
          <a:off x="2095502" y="321469"/>
          <a:ext cx="1178718" cy="928687"/>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Add number of stoves here</a:t>
          </a:r>
        </a:p>
      </xdr:txBody>
    </xdr:sp>
    <xdr:clientData/>
  </xdr:twoCellAnchor>
  <xdr:twoCellAnchor>
    <xdr:from>
      <xdr:col>0</xdr:col>
      <xdr:colOff>0</xdr:colOff>
      <xdr:row>1</xdr:row>
      <xdr:rowOff>104775</xdr:rowOff>
    </xdr:from>
    <xdr:to>
      <xdr:col>2</xdr:col>
      <xdr:colOff>762000</xdr:colOff>
      <xdr:row>5</xdr:row>
      <xdr:rowOff>190500</xdr:rowOff>
    </xdr:to>
    <xdr:sp macro="" textlink="">
      <xdr:nvSpPr>
        <xdr:cNvPr id="9" name="Callout: Down Arrow 2">
          <a:extLst>
            <a:ext uri="{FF2B5EF4-FFF2-40B4-BE49-F238E27FC236}">
              <a16:creationId xmlns:a16="http://schemas.microsoft.com/office/drawing/2014/main" id="{E44B57B1-B379-4CAE-B361-B63E82CF4BAA}"/>
            </a:ext>
            <a:ext uri="{147F2762-F138-4A5C-976F-8EAC2B608ADB}">
              <a16:predDERef xmlns:a16="http://schemas.microsoft.com/office/drawing/2014/main" pred="{AFB23314-7318-4CFE-A1E3-B98998F84C04}"/>
            </a:ext>
          </a:extLst>
        </xdr:cNvPr>
        <xdr:cNvSpPr/>
      </xdr:nvSpPr>
      <xdr:spPr>
        <a:xfrm>
          <a:off x="0" y="314325"/>
          <a:ext cx="2000250" cy="923925"/>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Project creditign period</a:t>
          </a:r>
          <a:r>
            <a:rPr lang="en-US" sz="1100" baseline="0">
              <a:solidFill>
                <a:schemeClr val="tx1"/>
              </a:solidFill>
            </a:rPr>
            <a:t> </a:t>
          </a:r>
          <a:r>
            <a:rPr lang="en-US" sz="1100">
              <a:solidFill>
                <a:schemeClr val="tx1"/>
              </a:solidFill>
            </a:rPr>
            <a:t>start date (Auto fill</a:t>
          </a:r>
          <a:r>
            <a:rPr lang="en-US" sz="1100" baseline="0">
              <a:solidFill>
                <a:schemeClr val="tx1"/>
              </a:solidFill>
            </a:rPr>
            <a:t> from cover sheet)</a:t>
          </a:r>
          <a:endParaRPr lang="en-US" sz="1100">
            <a:solidFill>
              <a:schemeClr val="tx1"/>
            </a:solidFill>
          </a:endParaRPr>
        </a:p>
      </xdr:txBody>
    </xdr:sp>
    <xdr:clientData/>
  </xdr:twoCellAnchor>
  <xdr:twoCellAnchor>
    <xdr:from>
      <xdr:col>4</xdr:col>
      <xdr:colOff>609600</xdr:colOff>
      <xdr:row>1</xdr:row>
      <xdr:rowOff>76200</xdr:rowOff>
    </xdr:from>
    <xdr:to>
      <xdr:col>6</xdr:col>
      <xdr:colOff>533400</xdr:colOff>
      <xdr:row>5</xdr:row>
      <xdr:rowOff>152400</xdr:rowOff>
    </xdr:to>
    <xdr:sp macro="" textlink="">
      <xdr:nvSpPr>
        <xdr:cNvPr id="8" name="Callout: Down Arrow 3">
          <a:extLst>
            <a:ext uri="{FF2B5EF4-FFF2-40B4-BE49-F238E27FC236}">
              <a16:creationId xmlns:a16="http://schemas.microsoft.com/office/drawing/2014/main" id="{4CCF8819-A352-451A-8207-52B60C2F4B42}"/>
            </a:ext>
            <a:ext uri="{147F2762-F138-4A5C-976F-8EAC2B608ADB}">
              <a16:predDERef xmlns:a16="http://schemas.microsoft.com/office/drawing/2014/main" pred="{E44B57B1-B379-4CAE-B361-B63E82CF4BAA}"/>
            </a:ext>
          </a:extLst>
        </xdr:cNvPr>
        <xdr:cNvSpPr/>
      </xdr:nvSpPr>
      <xdr:spPr>
        <a:xfrm>
          <a:off x="3905250" y="285750"/>
          <a:ext cx="1543050" cy="914400"/>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1"/>
              </a:solidFill>
              <a:latin typeface="+mn-lt"/>
              <a:ea typeface="+mn-lt"/>
              <a:cs typeface="+mn-lt"/>
            </a:rPr>
            <a:t>Fill usage rate as per monitoing data.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goldstandard1.sharepoint.com/192.168.1.50/Projects/A/Clients/PLN/PLN%20Budget/PLN%20budget%20forms/Lk200312-02-0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egoldstandard1.sharepoint.com/192.168.1.50/Projects/Volumes/NURUL%20JOE/LKSEM2001PJ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xuscarbonfordevelopme.sharepoint.com/Working_HH/_KfW/_CEDAC/Final%20Report/CashFlow012001Anggaran"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rofmattleach-my.sharepoint.com/personal/matt_profmattleach_onmicrosoft_com/Documents/MECS/MECS/Other%20activities/Carbon%20credits/Copy%20of%20Malawi%20MECD%20Tool%20Nov20%202024%20comparison%20Matt.xlsx" TargetMode="External"/><Relationship Id="rId1" Type="http://schemas.openxmlformats.org/officeDocument/2006/relationships/externalLinkPath" Target="/personal/matt_profmattleach_onmicrosoft_com/Documents/MECS/MECS/Other%20activities/Carbon%20credits/Copy%20of%20Malawi%20MECD%20Tool%20Nov20%202024%20comparison%20Ma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kRp"/>
      <sheetName val="PkVal"/>
      <sheetName val="PkJtRp"/>
      <sheetName val="PkJtVal"/>
      <sheetName val="ByDkpRp"/>
      <sheetName val="ByDkpVal"/>
      <sheetName val="ByDkpJtRp"/>
      <sheetName val="ByDkpJtVal"/>
      <sheetName val="ByPinjRp"/>
      <sheetName val="ByPinj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2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hDeb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BE"/>
      <sheetName val="PE"/>
      <sheetName val="LE"/>
      <sheetName val="ER"/>
    </sheetNames>
    <sheetDataSet>
      <sheetData sheetId="0" refreshError="1"/>
      <sheetData sheetId="1" refreshError="1"/>
      <sheetData sheetId="2">
        <row r="14">
          <cell r="D14" t="str">
            <v>Amount of electricity used in the project scenario by device per day</v>
          </cell>
          <cell r="F14">
            <v>2</v>
          </cell>
          <cell r="G14" t="str">
            <v>kWh/day/hh</v>
          </cell>
        </row>
      </sheetData>
      <sheetData sheetId="3" refreshError="1"/>
      <sheetData sheetId="4" refreshError="1"/>
    </sheetDataSet>
  </externalBook>
</externalLink>
</file>

<file path=xl/theme/theme1.xml><?xml version="1.0" encoding="utf-8"?>
<a:theme xmlns:a="http://schemas.openxmlformats.org/drawingml/2006/main" name="GoldStandard-theme">
  <a:themeElements>
    <a:clrScheme name="GS Color Palette">
      <a:dk1>
        <a:srgbClr val="323232"/>
      </a:dk1>
      <a:lt1>
        <a:srgbClr val="FFFFFF"/>
      </a:lt1>
      <a:dk2>
        <a:srgbClr val="323232"/>
      </a:dk2>
      <a:lt2>
        <a:srgbClr val="E6E5E5"/>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D3D4D6"/>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bodyPr anchor="t"/>
      <a:lstStyle>
        <a:defPPr>
          <a:defRPr smtClean="0"/>
        </a:defPPr>
      </a:lstStyle>
    </a:txDef>
  </a:objectDefaults>
  <a:extraClrSchemeLst/>
  <a:extLst>
    <a:ext uri="{05A4C25C-085E-4340-85A3-A5531E510DB2}">
      <thm15:themeFamily xmlns:thm15="http://schemas.microsoft.com/office/thememl/2012/main" name="GoldStandard-theme" id="{C3C0133F-91A4-A34E-8107-A847F79FECF6}" vid="{FF31AA08-87F0-7741-A8F4-7506A7B45B0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645F-C253-4282-9A81-86C0EB6AA0A6}">
  <sheetPr codeName="Sheet1">
    <tabColor theme="4"/>
  </sheetPr>
  <dimension ref="B1:M45"/>
  <sheetViews>
    <sheetView showGridLines="0" zoomScale="85" zoomScaleNormal="85" workbookViewId="0">
      <pane xSplit="4" ySplit="14" topLeftCell="E26" activePane="bottomRight" state="frozen"/>
      <selection pane="topRight" activeCell="E1" sqref="E1"/>
      <selection pane="bottomLeft" activeCell="A9" sqref="A9"/>
      <selection pane="bottomRight" activeCell="C49" sqref="C49"/>
    </sheetView>
  </sheetViews>
  <sheetFormatPr defaultColWidth="9" defaultRowHeight="14"/>
  <cols>
    <col min="1" max="1" width="2.125" style="1" customWidth="1"/>
    <col min="2" max="2" width="17.125" style="1" customWidth="1"/>
    <col min="3" max="3" width="17.875" style="1" customWidth="1"/>
    <col min="4" max="4" width="35.375" style="1" customWidth="1"/>
    <col min="5" max="5" width="20.875" style="1" customWidth="1"/>
    <col min="6" max="6" width="17.875" style="1" customWidth="1"/>
    <col min="7" max="7" width="20.125" style="1" customWidth="1"/>
    <col min="8" max="8" width="28.875" style="1" customWidth="1"/>
    <col min="9" max="16384" width="9" style="1"/>
  </cols>
  <sheetData>
    <row r="1" spans="2:13" ht="2.25" customHeight="1"/>
    <row r="2" spans="2:13" s="30" customFormat="1" ht="99" customHeight="1">
      <c r="E2" s="161" t="s">
        <v>251</v>
      </c>
      <c r="F2" s="162"/>
      <c r="G2" s="162"/>
      <c r="H2" s="162"/>
    </row>
    <row r="3" spans="2:13" s="30" customFormat="1" ht="39.950000000000003" customHeight="1">
      <c r="B3" s="31" t="s">
        <v>145</v>
      </c>
    </row>
    <row r="4" spans="2:13" s="30" customFormat="1" ht="24.95" customHeight="1">
      <c r="B4" s="32"/>
    </row>
    <row r="5" spans="2:13" s="30" customFormat="1" ht="21.95" customHeight="1"/>
    <row r="6" spans="2:13" s="2" customFormat="1" ht="24.75" customHeight="1">
      <c r="B6" s="24" t="s">
        <v>0</v>
      </c>
      <c r="C6" s="23"/>
      <c r="D6" s="23"/>
      <c r="E6" s="23"/>
      <c r="F6" s="23"/>
      <c r="G6" s="23"/>
      <c r="H6" s="23"/>
    </row>
    <row r="7" spans="2:13" ht="14.25" customHeight="1">
      <c r="B7" s="3" t="s">
        <v>1</v>
      </c>
      <c r="C7" s="4" t="s">
        <v>2</v>
      </c>
      <c r="D7" s="3"/>
      <c r="E7" s="3"/>
      <c r="F7" s="3"/>
      <c r="G7" s="3"/>
      <c r="H7" s="3"/>
    </row>
    <row r="8" spans="2:13" ht="14.25" customHeight="1">
      <c r="B8" s="5" t="s">
        <v>3</v>
      </c>
      <c r="C8" s="6" t="s">
        <v>4</v>
      </c>
      <c r="D8" s="5"/>
      <c r="E8" s="5"/>
      <c r="F8" s="5"/>
      <c r="G8" s="5"/>
      <c r="H8" s="5"/>
    </row>
    <row r="9" spans="2:13" ht="14.25" customHeight="1">
      <c r="B9" s="4" t="s">
        <v>5</v>
      </c>
      <c r="C9" s="7" t="s">
        <v>216</v>
      </c>
      <c r="D9" s="3"/>
      <c r="E9" s="3"/>
      <c r="F9" s="3"/>
      <c r="G9" s="3"/>
      <c r="H9" s="3"/>
    </row>
    <row r="10" spans="2:13" ht="14.25" customHeight="1">
      <c r="B10" s="5" t="s">
        <v>6</v>
      </c>
      <c r="C10" s="8">
        <v>44834</v>
      </c>
      <c r="D10" s="5"/>
      <c r="E10" s="5"/>
      <c r="F10" s="5"/>
      <c r="G10" s="5"/>
      <c r="H10" s="5"/>
    </row>
    <row r="11" spans="2:13" ht="14.25" customHeight="1">
      <c r="B11" s="3" t="s">
        <v>7</v>
      </c>
      <c r="C11" s="7" t="s">
        <v>8</v>
      </c>
      <c r="D11" s="3"/>
      <c r="E11" s="3"/>
      <c r="F11" s="3"/>
      <c r="G11" s="3"/>
      <c r="H11" s="3"/>
      <c r="L11" s="22"/>
      <c r="M11" s="22"/>
    </row>
    <row r="12" spans="2:13" ht="46.5" customHeight="1">
      <c r="B12" s="3"/>
      <c r="C12" s="137" t="s">
        <v>9</v>
      </c>
      <c r="D12" s="137"/>
      <c r="E12" s="137"/>
      <c r="F12" s="137"/>
      <c r="G12" s="137"/>
      <c r="H12" s="137"/>
      <c r="L12" s="22"/>
      <c r="M12" s="22"/>
    </row>
    <row r="13" spans="2:13">
      <c r="L13" s="22"/>
      <c r="M13" s="22"/>
    </row>
    <row r="14" spans="2:13" ht="16">
      <c r="B14" s="25" t="s">
        <v>10</v>
      </c>
      <c r="C14" s="26"/>
      <c r="D14" s="26"/>
      <c r="E14" s="27"/>
      <c r="F14" s="28"/>
      <c r="G14" s="28"/>
      <c r="H14" s="28"/>
      <c r="L14" s="22"/>
      <c r="M14" s="22"/>
    </row>
    <row r="15" spans="2:13" ht="16">
      <c r="B15" s="11" t="s">
        <v>11</v>
      </c>
      <c r="C15" s="11"/>
      <c r="D15" s="106" t="s">
        <v>12</v>
      </c>
      <c r="E15" s="11" t="s">
        <v>13</v>
      </c>
      <c r="F15" s="12"/>
      <c r="G15" s="12"/>
      <c r="H15" s="12"/>
      <c r="L15" s="22"/>
      <c r="M15" s="22"/>
    </row>
    <row r="16" spans="2:13" ht="16">
      <c r="B16" s="9" t="s">
        <v>14</v>
      </c>
      <c r="C16" s="9"/>
      <c r="D16" s="107" t="s">
        <v>15</v>
      </c>
      <c r="E16" s="9" t="s">
        <v>16</v>
      </c>
      <c r="F16" s="10"/>
      <c r="G16" s="10"/>
      <c r="H16" s="10"/>
      <c r="L16" s="22"/>
      <c r="M16" s="22"/>
    </row>
    <row r="17" spans="2:13" ht="16">
      <c r="B17" s="11" t="s">
        <v>17</v>
      </c>
      <c r="C17" s="11"/>
      <c r="D17" s="9" t="s">
        <v>18</v>
      </c>
      <c r="E17" s="11"/>
      <c r="F17" s="12"/>
      <c r="G17" s="12"/>
      <c r="H17" s="12"/>
    </row>
    <row r="18" spans="2:13" ht="16">
      <c r="B18" s="9" t="s">
        <v>19</v>
      </c>
      <c r="C18" s="9"/>
      <c r="D18" s="108">
        <v>44509</v>
      </c>
      <c r="E18" s="9" t="s">
        <v>20</v>
      </c>
      <c r="F18" s="10"/>
      <c r="G18" s="10"/>
      <c r="H18" s="10"/>
    </row>
    <row r="19" spans="2:13" ht="16">
      <c r="B19" s="11" t="s">
        <v>21</v>
      </c>
      <c r="C19" s="11"/>
      <c r="D19" s="108">
        <v>45217</v>
      </c>
      <c r="E19" s="11" t="s">
        <v>22</v>
      </c>
      <c r="F19" s="12"/>
      <c r="G19" s="12"/>
      <c r="H19" s="133" t="str">
        <f>IF(D19&lt;D18,"CP start date must be after Project start date! Please check again!","")</f>
        <v/>
      </c>
    </row>
    <row r="20" spans="2:13" ht="16">
      <c r="B20" s="9" t="s">
        <v>23</v>
      </c>
      <c r="C20" s="9"/>
      <c r="D20" s="13">
        <f>IF(LEFT(D17,1)="5",DATE(YEAR(D19)+5,MONTH(D19),DAY(D19))-1,DATE(YEAR(D19)+10,MONTH(D19),DAY(D19))-1)</f>
        <v>47043</v>
      </c>
      <c r="E20" s="9" t="s">
        <v>24</v>
      </c>
      <c r="F20" s="10"/>
      <c r="G20" s="10"/>
      <c r="H20" s="10"/>
    </row>
    <row r="21" spans="2:13" ht="16">
      <c r="B21" s="11" t="s">
        <v>25</v>
      </c>
      <c r="C21" s="11"/>
      <c r="D21" s="107" t="s">
        <v>26</v>
      </c>
      <c r="E21" s="11" t="s">
        <v>27</v>
      </c>
      <c r="F21" s="12"/>
      <c r="G21" s="12"/>
      <c r="H21" s="12"/>
    </row>
    <row r="22" spans="2:13" ht="16">
      <c r="B22" s="9" t="s">
        <v>28</v>
      </c>
      <c r="C22" s="9"/>
      <c r="D22" s="107" t="s">
        <v>29</v>
      </c>
      <c r="E22" s="9" t="s">
        <v>30</v>
      </c>
      <c r="F22" s="10"/>
      <c r="G22" s="10"/>
      <c r="H22" s="10"/>
    </row>
    <row r="23" spans="2:13" ht="38.25" customHeight="1">
      <c r="B23" s="11" t="s">
        <v>214</v>
      </c>
      <c r="C23" s="11"/>
      <c r="D23" s="107" t="s">
        <v>212</v>
      </c>
      <c r="E23" s="139" t="s">
        <v>215</v>
      </c>
      <c r="F23" s="139"/>
      <c r="G23" s="139"/>
      <c r="H23" s="139"/>
    </row>
    <row r="24" spans="2:13" ht="30" customHeight="1">
      <c r="B24" s="9" t="s">
        <v>31</v>
      </c>
      <c r="C24" s="9"/>
      <c r="D24" s="107" t="s">
        <v>188</v>
      </c>
      <c r="E24" s="140" t="s">
        <v>32</v>
      </c>
      <c r="F24" s="140"/>
      <c r="G24" s="140"/>
      <c r="H24" s="140"/>
    </row>
    <row r="25" spans="2:13" ht="16">
      <c r="B25" s="132" t="s">
        <v>33</v>
      </c>
      <c r="C25" s="132"/>
      <c r="D25" s="106">
        <v>5</v>
      </c>
      <c r="E25" s="11" t="s">
        <v>34</v>
      </c>
      <c r="F25" s="12"/>
      <c r="G25" s="12"/>
      <c r="H25" s="12"/>
      <c r="L25" s="22"/>
      <c r="M25" s="22"/>
    </row>
    <row r="26" spans="2:13">
      <c r="L26" s="22"/>
      <c r="M26" s="22"/>
    </row>
    <row r="27" spans="2:13" ht="15.75">
      <c r="B27" s="29" t="s">
        <v>35</v>
      </c>
      <c r="C27" s="29"/>
      <c r="D27" s="29"/>
      <c r="E27" s="29"/>
      <c r="F27" s="29"/>
      <c r="G27" s="29"/>
      <c r="H27" s="29"/>
    </row>
    <row r="28" spans="2:13" s="14" customFormat="1" ht="42">
      <c r="B28" s="33" t="s">
        <v>36</v>
      </c>
      <c r="C28" s="33" t="s">
        <v>37</v>
      </c>
      <c r="D28" s="33" t="s">
        <v>38</v>
      </c>
      <c r="E28" s="34" t="s">
        <v>39</v>
      </c>
      <c r="F28" s="34" t="s">
        <v>40</v>
      </c>
      <c r="G28" s="34" t="s">
        <v>41</v>
      </c>
      <c r="H28" s="34" t="s">
        <v>42</v>
      </c>
    </row>
    <row r="29" spans="2:13">
      <c r="B29" s="15" t="s">
        <v>43</v>
      </c>
      <c r="C29" s="16">
        <f>+Cover!D19</f>
        <v>45217</v>
      </c>
      <c r="D29" s="16">
        <f t="shared" ref="D29:D33" si="0">+DATE(YEAR(C29)+1,MONTH(C29),DAY(C29))-1</f>
        <v>45582</v>
      </c>
      <c r="E29" s="17">
        <f>SUMIFS(ER!G:G,ER!$B:$B,"&gt;="&amp;Cover!$C29,ER!$C:$C,"&lt;="&amp;Cover!$D29)</f>
        <v>11201.718546380102</v>
      </c>
      <c r="F29" s="17">
        <f>SUMIFS(ER!H:H,ER!$B:$B,"&gt;="&amp;Cover!$C29,ER!$C:$C,"&lt;="&amp;Cover!$D29)</f>
        <v>1910.8976399999995</v>
      </c>
      <c r="G29" s="17">
        <f>SUMIFS(ER!I:I,ER!$B:$B,"&gt;="&amp;Cover!$C29,ER!$C:$C,"&lt;="&amp;Cover!$D29)</f>
        <v>560.08592731900558</v>
      </c>
      <c r="H29" s="17">
        <f>+E29-F29-G29</f>
        <v>8730.734979061097</v>
      </c>
    </row>
    <row r="30" spans="2:13">
      <c r="B30" s="18" t="s">
        <v>44</v>
      </c>
      <c r="C30" s="19">
        <f t="shared" ref="C30:C33" si="1">+D29+1</f>
        <v>45583</v>
      </c>
      <c r="D30" s="19">
        <f t="shared" si="0"/>
        <v>45947</v>
      </c>
      <c r="E30" s="20">
        <f>SUMIFS(ER!G:G,ER!$B:$B,"&gt;="&amp;Cover!$C30,ER!$C:$C,"&lt;="&amp;Cover!$D30)</f>
        <v>16686.036072147592</v>
      </c>
      <c r="F30" s="20">
        <f>SUMIFS(ER!H:H,ER!$B:$B,"&gt;="&amp;Cover!$C30,ER!$C:$C,"&lt;="&amp;Cover!$D30)</f>
        <v>2846.4656399999994</v>
      </c>
      <c r="G30" s="20">
        <f>SUMIFS(ER!I:I,ER!$B:$B,"&gt;="&amp;Cover!$C30,ER!$C:$C,"&lt;="&amp;Cover!$D30)</f>
        <v>834.30180360738052</v>
      </c>
      <c r="H30" s="20">
        <f t="shared" ref="H30:H33" si="2">+E30-F30-G30</f>
        <v>13005.268628540212</v>
      </c>
    </row>
    <row r="31" spans="2:13">
      <c r="B31" s="15" t="s">
        <v>45</v>
      </c>
      <c r="C31" s="16">
        <f t="shared" si="1"/>
        <v>45948</v>
      </c>
      <c r="D31" s="16">
        <f t="shared" si="0"/>
        <v>46312</v>
      </c>
      <c r="E31" s="17">
        <f>SUMIFS(ER!G:G,ER!$B:$B,"&gt;="&amp;Cover!$C31,ER!$C:$C,"&lt;="&amp;Cover!$D31)</f>
        <v>22170.353597915084</v>
      </c>
      <c r="F31" s="17">
        <f>SUMIFS(ER!H:H,ER!$B:$B,"&gt;="&amp;Cover!$C31,ER!$C:$C,"&lt;="&amp;Cover!$D31)</f>
        <v>3782.0336399999992</v>
      </c>
      <c r="G31" s="17">
        <f>SUMIFS(ER!I:I,ER!$B:$B,"&gt;="&amp;Cover!$C31,ER!$C:$C,"&lt;="&amp;Cover!$D31)</f>
        <v>1108.5176798957552</v>
      </c>
      <c r="H31" s="17">
        <f t="shared" si="2"/>
        <v>17279.802278019331</v>
      </c>
    </row>
    <row r="32" spans="2:13">
      <c r="B32" s="18" t="s">
        <v>46</v>
      </c>
      <c r="C32" s="19">
        <f t="shared" si="1"/>
        <v>46313</v>
      </c>
      <c r="D32" s="19">
        <f t="shared" si="0"/>
        <v>46677</v>
      </c>
      <c r="E32" s="20">
        <f>SUMIFS(ER!G:G,ER!$B:$B,"&gt;="&amp;Cover!$C32,ER!$C:$C,"&lt;="&amp;Cover!$D32)</f>
        <v>27654.671123682572</v>
      </c>
      <c r="F32" s="20">
        <f>SUMIFS(ER!H:H,ER!$B:$B,"&gt;="&amp;Cover!$C32,ER!$C:$C,"&lt;="&amp;Cover!$D32)</f>
        <v>4717.601639999999</v>
      </c>
      <c r="G32" s="20">
        <f>SUMIFS(ER!I:I,ER!$B:$B,"&gt;="&amp;Cover!$C32,ER!$C:$C,"&lt;="&amp;Cover!$D32)</f>
        <v>1382.7335561841298</v>
      </c>
      <c r="H32" s="20">
        <f t="shared" si="2"/>
        <v>21554.335927498443</v>
      </c>
    </row>
    <row r="33" spans="2:8">
      <c r="B33" s="15" t="s">
        <v>47</v>
      </c>
      <c r="C33" s="16">
        <f t="shared" si="1"/>
        <v>46678</v>
      </c>
      <c r="D33" s="16">
        <f t="shared" si="0"/>
        <v>47043</v>
      </c>
      <c r="E33" s="17">
        <f>SUMIFS(ER!G:G,ER!$B:$B,"&gt;="&amp;Cover!$C33,ER!$C:$C,"&lt;="&amp;Cover!$D33)</f>
        <v>33138.988649450068</v>
      </c>
      <c r="F33" s="17">
        <f>SUMIFS(ER!H:H,ER!$B:$B,"&gt;="&amp;Cover!$C33,ER!$C:$C,"&lt;="&amp;Cover!$D33)</f>
        <v>5653.1696399999992</v>
      </c>
      <c r="G33" s="17">
        <f>SUMIFS(ER!I:I,ER!$B:$B,"&gt;="&amp;Cover!$C33,ER!$C:$C,"&lt;="&amp;Cover!$D33)</f>
        <v>1656.9494324725049</v>
      </c>
      <c r="H33" s="17">
        <f t="shared" si="2"/>
        <v>25828.869576977562</v>
      </c>
    </row>
    <row r="34" spans="2:8">
      <c r="B34" s="35" t="s">
        <v>48</v>
      </c>
      <c r="C34" s="35"/>
      <c r="D34" s="35"/>
      <c r="E34" s="36">
        <f>SUM(E29:E33)/COUNTIF(E29:E33,"&gt;0")</f>
        <v>22170.353597915084</v>
      </c>
      <c r="F34" s="36">
        <f>IF(ISERROR((SUM(F29:F33)/COUNTIF(F29:F33,"&gt;0"))),0,(SUM(F29:F33)/COUNTIF(F29:F33,"&gt;0")))</f>
        <v>3782.0336399999992</v>
      </c>
      <c r="G34" s="36">
        <f>SUM(G29:G33)/COUNTIF(G29:G33,"&gt;0")</f>
        <v>1108.5176798957552</v>
      </c>
      <c r="H34" s="36">
        <f>SUM(H29:H33)/COUNTIF(H29:H33,"&gt;0")</f>
        <v>17279.802278019331</v>
      </c>
    </row>
    <row r="38" spans="2:8">
      <c r="C38" s="21"/>
      <c r="D38" s="21"/>
    </row>
    <row r="45" spans="2:8" ht="133.5" customHeight="1">
      <c r="B45" s="138" t="s">
        <v>176</v>
      </c>
      <c r="C45" s="138"/>
      <c r="D45" s="138"/>
      <c r="E45" s="138"/>
      <c r="F45" s="138"/>
      <c r="G45" s="138"/>
      <c r="H45" s="138"/>
    </row>
  </sheetData>
  <mergeCells count="5">
    <mergeCell ref="C12:H12"/>
    <mergeCell ref="B45:H45"/>
    <mergeCell ref="E23:H23"/>
    <mergeCell ref="E24:H24"/>
    <mergeCell ref="E2:H2"/>
  </mergeCells>
  <conditionalFormatting sqref="B6">
    <cfRule type="expression" dxfId="0" priority="1">
      <formula>IF(ISERROR(FIND($E$8,$Z6)),1,0)</formula>
    </cfRule>
  </conditionalFormatting>
  <dataValidations count="3">
    <dataValidation type="list" allowBlank="1" showInputMessage="1" showErrorMessage="1" sqref="D25" xr:uid="{A6495747-3F1B-495F-84D3-FB17A8869F70}">
      <formula1>"1,2,3,4,5,6,7,8,9,10,11,12,13,14,15"</formula1>
    </dataValidation>
    <dataValidation type="list" allowBlank="1" showInputMessage="1" showErrorMessage="1" sqref="D24" xr:uid="{AAB8B85A-2193-4D59-9D14-47234A3F0AE9}">
      <formula1>"Electricity, Fossil fuel, Renewable fuel"</formula1>
    </dataValidation>
    <dataValidation type="list" allowBlank="1" showInputMessage="1" showErrorMessage="1" sqref="D23" xr:uid="{095D9E2B-B557-40A7-A07B-6C9A58E05963}">
      <formula1>"CASE 1,CASE 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C504-2466-4C7C-9043-48DB4A3D2CE1}">
  <sheetPr codeName="Sheet2">
    <tabColor theme="6"/>
  </sheetPr>
  <dimension ref="A1:S111"/>
  <sheetViews>
    <sheetView showGridLines="0" tabSelected="1" topLeftCell="G4" zoomScale="70" zoomScaleNormal="70" workbookViewId="0">
      <selection activeCell="O14" sqref="O14"/>
    </sheetView>
  </sheetViews>
  <sheetFormatPr defaultColWidth="9" defaultRowHeight="14"/>
  <cols>
    <col min="1" max="1" width="5" style="41" customWidth="1"/>
    <col min="2" max="2" width="15.875" style="41" customWidth="1"/>
    <col min="3" max="3" width="4.625" style="41" customWidth="1"/>
    <col min="4" max="4" width="56" style="41" customWidth="1"/>
    <col min="5" max="5" width="9" style="41"/>
    <col min="6" max="6" width="15.5" style="40" bestFit="1" customWidth="1"/>
    <col min="7" max="7" width="20.75" style="41" customWidth="1"/>
    <col min="8" max="8" width="32.875" style="41" bestFit="1" customWidth="1"/>
    <col min="9" max="9" width="4.25" style="130" customWidth="1"/>
    <col min="10" max="10" width="5" style="41" customWidth="1"/>
    <col min="11" max="11" width="15.875" style="40" customWidth="1"/>
    <col min="12" max="12" width="4.625" style="40" customWidth="1"/>
    <col min="13" max="13" width="56" style="40" customWidth="1"/>
    <col min="14" max="14" width="9" style="40"/>
    <col min="15" max="15" width="15.5" style="40" bestFit="1" customWidth="1"/>
    <col min="16" max="16" width="20.75" style="40" customWidth="1"/>
    <col min="17" max="17" width="32.875" style="40" bestFit="1" customWidth="1"/>
    <col min="18" max="18" width="5.4140625" style="40" customWidth="1"/>
    <col min="19" max="19" width="64.75" style="148" customWidth="1"/>
    <col min="20" max="16384" width="9" style="40"/>
  </cols>
  <sheetData>
    <row r="1" spans="1:19" s="38" customFormat="1">
      <c r="A1" s="37"/>
      <c r="B1" s="37" t="s">
        <v>49</v>
      </c>
      <c r="C1" s="37"/>
      <c r="D1" s="37" t="s">
        <v>50</v>
      </c>
      <c r="E1" s="37" t="s">
        <v>51</v>
      </c>
      <c r="F1" s="37" t="s">
        <v>52</v>
      </c>
      <c r="G1" s="37" t="s">
        <v>53</v>
      </c>
      <c r="H1" s="37" t="s">
        <v>54</v>
      </c>
      <c r="I1" s="103"/>
      <c r="J1" s="37"/>
      <c r="K1" s="37" t="s">
        <v>49</v>
      </c>
      <c r="L1" s="37"/>
      <c r="M1" s="37" t="s">
        <v>50</v>
      </c>
      <c r="N1" s="37" t="s">
        <v>51</v>
      </c>
      <c r="O1" s="37" t="s">
        <v>52</v>
      </c>
      <c r="P1" s="37" t="s">
        <v>53</v>
      </c>
      <c r="Q1" s="37" t="s">
        <v>54</v>
      </c>
      <c r="S1" s="148"/>
    </row>
    <row r="2" spans="1:19" ht="15.75">
      <c r="A2" s="59"/>
      <c r="B2" s="60" t="s">
        <v>211</v>
      </c>
      <c r="C2" s="61"/>
      <c r="D2" s="61"/>
      <c r="E2" s="61"/>
      <c r="F2" s="61"/>
      <c r="G2" s="61"/>
      <c r="H2" s="61"/>
      <c r="I2"/>
      <c r="J2"/>
      <c r="K2"/>
    </row>
    <row r="3" spans="1:19" ht="17.5">
      <c r="I3"/>
      <c r="J3"/>
      <c r="K3" s="151" t="s">
        <v>233</v>
      </c>
    </row>
    <row r="4" spans="1:19" ht="16.5">
      <c r="C4" s="41" t="s">
        <v>57</v>
      </c>
      <c r="D4" s="119" t="s">
        <v>213</v>
      </c>
      <c r="F4" s="93">
        <f>IF(Cover!D23="CASE 1",F57,O57)</f>
        <v>4.5702646048062432</v>
      </c>
      <c r="G4" s="56" t="s">
        <v>92</v>
      </c>
      <c r="I4"/>
      <c r="J4"/>
      <c r="K4"/>
    </row>
    <row r="5" spans="1:19" ht="14.25">
      <c r="F5" s="93">
        <f>+F4/12</f>
        <v>0.38085538373385358</v>
      </c>
      <c r="G5" s="56" t="s">
        <v>93</v>
      </c>
      <c r="I5"/>
      <c r="J5"/>
      <c r="K5"/>
      <c r="M5" s="134"/>
    </row>
    <row r="6" spans="1:19" ht="14.25">
      <c r="I6"/>
      <c r="J6"/>
      <c r="K6"/>
    </row>
    <row r="7" spans="1:19" s="38" customFormat="1" ht="15.75">
      <c r="A7" s="59"/>
      <c r="B7" s="60" t="s">
        <v>210</v>
      </c>
      <c r="C7" s="61"/>
      <c r="D7" s="61"/>
      <c r="E7" s="61"/>
      <c r="F7" s="61"/>
      <c r="G7" s="61"/>
      <c r="H7" s="61"/>
      <c r="I7" s="103"/>
      <c r="J7" s="59"/>
      <c r="K7" s="60" t="s">
        <v>212</v>
      </c>
      <c r="L7" s="61"/>
      <c r="M7" s="61"/>
      <c r="N7" s="61"/>
      <c r="O7" s="61"/>
      <c r="P7" s="61"/>
      <c r="Q7" s="61"/>
      <c r="S7" s="148"/>
    </row>
    <row r="8" spans="1:19">
      <c r="A8" s="39"/>
      <c r="B8" s="39" t="s">
        <v>55</v>
      </c>
      <c r="C8" s="39"/>
      <c r="D8" s="39"/>
      <c r="E8" s="39"/>
      <c r="F8" s="39"/>
      <c r="G8" s="39"/>
      <c r="H8" s="39"/>
      <c r="K8" s="41" t="s">
        <v>55</v>
      </c>
      <c r="L8" s="41"/>
      <c r="M8" s="41"/>
      <c r="N8" s="41"/>
      <c r="P8" s="41"/>
      <c r="Q8" s="41"/>
    </row>
    <row r="9" spans="1:19" ht="59.25" customHeight="1">
      <c r="B9"/>
      <c r="F9"/>
      <c r="G9" s="118"/>
      <c r="K9" s="122"/>
      <c r="L9" s="41"/>
      <c r="M9" s="41"/>
      <c r="N9" s="41"/>
      <c r="O9"/>
      <c r="P9" s="118"/>
      <c r="Q9" s="41"/>
    </row>
    <row r="10" spans="1:19" ht="59.25" customHeight="1">
      <c r="A10" s="43" t="s">
        <v>56</v>
      </c>
      <c r="B10" s="44"/>
      <c r="E10" s="119" t="s">
        <v>193</v>
      </c>
      <c r="H10" s="45"/>
      <c r="J10" s="43" t="s">
        <v>56</v>
      </c>
      <c r="K10" s="122"/>
      <c r="L10" s="41"/>
      <c r="M10" s="41"/>
      <c r="N10" s="119" t="s">
        <v>192</v>
      </c>
      <c r="P10" s="41"/>
      <c r="Q10" s="45"/>
      <c r="S10" s="151" t="s">
        <v>236</v>
      </c>
    </row>
    <row r="11" spans="1:19">
      <c r="F11" s="42"/>
      <c r="K11" s="41"/>
      <c r="L11" s="41"/>
      <c r="M11" s="41"/>
      <c r="N11" s="41"/>
      <c r="O11" s="42"/>
      <c r="P11" s="41"/>
      <c r="Q11" s="41"/>
    </row>
    <row r="12" spans="1:19" ht="21.75" customHeight="1">
      <c r="B12"/>
      <c r="C12" s="41" t="s">
        <v>57</v>
      </c>
      <c r="D12" s="41" t="s">
        <v>146</v>
      </c>
      <c r="F12" s="46" cm="1">
        <f t="array" ref="F12">SUMPRODUCT(F14:F16,(F33:F35)+F37:F39,F46:F48)/SUMPRODUCT(F14:F16,F29:F31,F42:F44,F46:F48)</f>
        <v>990.06957174438321</v>
      </c>
      <c r="G12" s="47" t="s">
        <v>147</v>
      </c>
      <c r="K12"/>
      <c r="L12" s="41" t="s">
        <v>57</v>
      </c>
      <c r="M12" s="144" t="s">
        <v>218</v>
      </c>
      <c r="N12" s="41"/>
      <c r="O12" s="46" cm="1">
        <f t="array" ref="O12">SUMPRODUCT(O14:O16,(O33:O35)+O37:O39)/SUMPRODUCT(O14:O16,O29:O31)</f>
        <v>128.98829208355275</v>
      </c>
      <c r="P12" s="145" t="s">
        <v>217</v>
      </c>
      <c r="Q12" s="41"/>
    </row>
    <row r="13" spans="1:19" ht="21.75" customHeight="1">
      <c r="C13" s="41" t="s">
        <v>57</v>
      </c>
      <c r="D13" s="41" t="s">
        <v>148</v>
      </c>
      <c r="F13" s="42"/>
      <c r="H13" s="48"/>
      <c r="K13" s="41"/>
      <c r="L13" s="41" t="s">
        <v>57</v>
      </c>
      <c r="M13" s="41" t="s">
        <v>148</v>
      </c>
      <c r="N13" s="41"/>
      <c r="O13" s="42"/>
      <c r="P13" s="41"/>
      <c r="Q13" s="48"/>
      <c r="S13" s="148" t="s">
        <v>219</v>
      </c>
    </row>
    <row r="14" spans="1:19" ht="21.75" customHeight="1">
      <c r="D14" s="49" t="s">
        <v>58</v>
      </c>
      <c r="F14" s="109">
        <f>5*365/1000*F46</f>
        <v>0.91249999999999998</v>
      </c>
      <c r="G14" s="41" t="s">
        <v>59</v>
      </c>
      <c r="H14" s="42" t="s">
        <v>60</v>
      </c>
      <c r="K14" s="41"/>
      <c r="L14" s="41"/>
      <c r="M14" s="49" t="s">
        <v>58</v>
      </c>
      <c r="N14" s="41"/>
      <c r="O14" s="109">
        <f>5*365/1000*O46</f>
        <v>0.91249999999999998</v>
      </c>
      <c r="P14" s="41" t="s">
        <v>59</v>
      </c>
      <c r="Q14" s="42" t="s">
        <v>60</v>
      </c>
      <c r="S14" s="148" t="s">
        <v>220</v>
      </c>
    </row>
    <row r="15" spans="1:19" ht="21.75" customHeight="1">
      <c r="D15" s="49" t="s">
        <v>61</v>
      </c>
      <c r="F15" s="109">
        <f>1*365/1000*F47</f>
        <v>0.14599999999999999</v>
      </c>
      <c r="G15" s="41" t="s">
        <v>59</v>
      </c>
      <c r="H15" s="41" t="s">
        <v>62</v>
      </c>
      <c r="K15" s="41"/>
      <c r="L15" s="41"/>
      <c r="M15" s="49" t="s">
        <v>61</v>
      </c>
      <c r="N15" s="41"/>
      <c r="O15" s="109">
        <f>1*365/1000*O47</f>
        <v>0.14599999999999999</v>
      </c>
      <c r="P15" s="41" t="s">
        <v>59</v>
      </c>
      <c r="Q15" s="41" t="s">
        <v>62</v>
      </c>
      <c r="S15" s="148" t="s">
        <v>252</v>
      </c>
    </row>
    <row r="16" spans="1:19" ht="21.75" customHeight="1">
      <c r="D16" s="49" t="s">
        <v>63</v>
      </c>
      <c r="F16" s="109">
        <f>0.1*365/1000*F48</f>
        <v>3.65E-3</v>
      </c>
      <c r="G16" s="41" t="s">
        <v>59</v>
      </c>
      <c r="H16" s="41" t="s">
        <v>64</v>
      </c>
      <c r="K16" s="41"/>
      <c r="L16" s="41"/>
      <c r="M16" s="49" t="s">
        <v>63</v>
      </c>
      <c r="N16" s="41"/>
      <c r="O16" s="109">
        <f>0.1*365/1000*O48</f>
        <v>3.65E-3</v>
      </c>
      <c r="P16" s="41" t="s">
        <v>59</v>
      </c>
      <c r="Q16" s="41" t="s">
        <v>64</v>
      </c>
      <c r="S16" s="148" t="s">
        <v>253</v>
      </c>
    </row>
    <row r="17" spans="2:19" ht="21.75" customHeight="1">
      <c r="F17" s="41"/>
      <c r="K17" s="41"/>
      <c r="L17" s="41"/>
      <c r="M17" s="41"/>
      <c r="N17" s="41"/>
      <c r="O17" s="41"/>
      <c r="P17" s="41"/>
      <c r="Q17" s="41"/>
    </row>
    <row r="18" spans="2:19" ht="21.75" customHeight="1">
      <c r="C18" s="41" t="s">
        <v>57</v>
      </c>
      <c r="D18" s="119" t="s">
        <v>177</v>
      </c>
      <c r="F18" s="41"/>
      <c r="H18" s="48"/>
      <c r="K18" s="41"/>
      <c r="L18" s="41" t="s">
        <v>57</v>
      </c>
      <c r="M18" s="119" t="s">
        <v>177</v>
      </c>
      <c r="N18" s="41"/>
      <c r="O18" s="41"/>
      <c r="P18" s="41"/>
      <c r="Q18" s="48"/>
    </row>
    <row r="19" spans="2:19" ht="21.75" customHeight="1">
      <c r="B19"/>
      <c r="D19" s="49" t="s">
        <v>149</v>
      </c>
      <c r="F19" s="110">
        <v>112</v>
      </c>
      <c r="G19" s="47" t="s">
        <v>150</v>
      </c>
      <c r="H19" s="48" t="s">
        <v>65</v>
      </c>
      <c r="K19"/>
      <c r="L19" s="41"/>
      <c r="M19" s="49" t="s">
        <v>149</v>
      </c>
      <c r="N19" s="41"/>
      <c r="O19" s="110">
        <v>112</v>
      </c>
      <c r="P19" s="47" t="s">
        <v>150</v>
      </c>
      <c r="Q19" s="48" t="s">
        <v>65</v>
      </c>
      <c r="S19" s="148" t="s">
        <v>245</v>
      </c>
    </row>
    <row r="20" spans="2:19" ht="21.75" customHeight="1">
      <c r="D20" s="49" t="s">
        <v>151</v>
      </c>
      <c r="F20" s="110">
        <v>165.22</v>
      </c>
      <c r="G20" s="47" t="s">
        <v>150</v>
      </c>
      <c r="H20" s="48" t="s">
        <v>76</v>
      </c>
      <c r="K20" s="41"/>
      <c r="L20" s="41"/>
      <c r="M20" s="49" t="s">
        <v>151</v>
      </c>
      <c r="N20" s="41"/>
      <c r="O20" s="110">
        <v>165.22</v>
      </c>
      <c r="P20" s="47" t="s">
        <v>150</v>
      </c>
      <c r="Q20" s="48" t="s">
        <v>76</v>
      </c>
      <c r="S20" s="148" t="s">
        <v>247</v>
      </c>
    </row>
    <row r="21" spans="2:19" ht="21.75" customHeight="1">
      <c r="D21" s="49" t="s">
        <v>152</v>
      </c>
      <c r="F21" s="110">
        <v>63.1</v>
      </c>
      <c r="G21" s="47" t="s">
        <v>150</v>
      </c>
      <c r="H21" s="48" t="s">
        <v>65</v>
      </c>
      <c r="K21" s="41"/>
      <c r="L21" s="41"/>
      <c r="M21" s="49" t="s">
        <v>152</v>
      </c>
      <c r="N21" s="41"/>
      <c r="O21" s="110">
        <v>63.1</v>
      </c>
      <c r="P21" s="47" t="s">
        <v>150</v>
      </c>
      <c r="Q21" s="48" t="s">
        <v>65</v>
      </c>
      <c r="S21" s="148" t="s">
        <v>248</v>
      </c>
    </row>
    <row r="22" spans="2:19" ht="21.75" customHeight="1">
      <c r="B22"/>
      <c r="C22" s="41" t="s">
        <v>57</v>
      </c>
      <c r="D22" s="119" t="s">
        <v>178</v>
      </c>
      <c r="F22"/>
      <c r="G22" s="47"/>
      <c r="H22" s="48"/>
      <c r="K22"/>
      <c r="L22" s="41" t="s">
        <v>57</v>
      </c>
      <c r="M22" s="119" t="s">
        <v>178</v>
      </c>
      <c r="N22" s="41"/>
      <c r="O22"/>
      <c r="P22" s="47"/>
      <c r="Q22" s="48"/>
    </row>
    <row r="23" spans="2:19" ht="21.75" customHeight="1">
      <c r="D23" s="49" t="s">
        <v>66</v>
      </c>
      <c r="F23" s="110">
        <v>9.4600000000000009</v>
      </c>
      <c r="G23" s="47" t="s">
        <v>153</v>
      </c>
      <c r="H23" s="48" t="s">
        <v>76</v>
      </c>
      <c r="K23" s="41"/>
      <c r="L23" s="41"/>
      <c r="M23" s="49" t="s">
        <v>66</v>
      </c>
      <c r="N23" s="41"/>
      <c r="O23" s="110">
        <v>9.4600000000000009</v>
      </c>
      <c r="P23" s="47" t="s">
        <v>153</v>
      </c>
      <c r="Q23" s="48" t="s">
        <v>76</v>
      </c>
    </row>
    <row r="24" spans="2:19" ht="21.75" customHeight="1">
      <c r="D24" s="49" t="s">
        <v>67</v>
      </c>
      <c r="F24" s="110">
        <v>44.83</v>
      </c>
      <c r="G24" s="47" t="s">
        <v>153</v>
      </c>
      <c r="H24" s="48" t="s">
        <v>76</v>
      </c>
      <c r="K24" s="41"/>
      <c r="L24" s="41"/>
      <c r="M24" s="49" t="s">
        <v>67</v>
      </c>
      <c r="N24" s="41"/>
      <c r="O24" s="110">
        <v>44.83</v>
      </c>
      <c r="P24" s="47" t="s">
        <v>153</v>
      </c>
      <c r="Q24" s="48" t="s">
        <v>76</v>
      </c>
      <c r="S24" s="148" t="s">
        <v>246</v>
      </c>
    </row>
    <row r="25" spans="2:19" ht="21.75" customHeight="1">
      <c r="D25" s="49" t="s">
        <v>68</v>
      </c>
      <c r="F25" s="110">
        <v>0</v>
      </c>
      <c r="G25" s="47" t="s">
        <v>153</v>
      </c>
      <c r="H25" s="42" t="s">
        <v>69</v>
      </c>
      <c r="K25" s="41"/>
      <c r="L25" s="41"/>
      <c r="M25" s="49" t="s">
        <v>68</v>
      </c>
      <c r="N25" s="41"/>
      <c r="O25" s="110">
        <v>0</v>
      </c>
      <c r="P25" s="47" t="s">
        <v>153</v>
      </c>
      <c r="Q25" s="42" t="s">
        <v>69</v>
      </c>
    </row>
    <row r="26" spans="2:19" ht="21.75" customHeight="1">
      <c r="B26" s="47"/>
      <c r="D26" s="51"/>
      <c r="F26" s="52"/>
      <c r="G26" s="47"/>
      <c r="H26" s="48"/>
      <c r="K26" s="47"/>
      <c r="L26" s="41"/>
      <c r="M26" s="51"/>
      <c r="N26" s="41"/>
      <c r="O26" s="52"/>
      <c r="P26" s="47"/>
      <c r="Q26" s="48"/>
    </row>
    <row r="27" spans="2:19" ht="21.75" customHeight="1">
      <c r="B27" s="47"/>
      <c r="C27" s="43" t="s">
        <v>57</v>
      </c>
      <c r="D27" s="41" t="s">
        <v>71</v>
      </c>
      <c r="F27" s="110">
        <v>0.84</v>
      </c>
      <c r="G27" s="47" t="s">
        <v>72</v>
      </c>
      <c r="H27" s="48" t="s">
        <v>73</v>
      </c>
      <c r="K27" s="47"/>
      <c r="L27" s="43" t="s">
        <v>57</v>
      </c>
      <c r="M27" s="41" t="s">
        <v>71</v>
      </c>
      <c r="N27" s="41"/>
      <c r="O27" s="110">
        <v>0.9</v>
      </c>
      <c r="P27" s="47" t="s">
        <v>72</v>
      </c>
      <c r="Q27" s="48" t="s">
        <v>73</v>
      </c>
    </row>
    <row r="28" spans="2:19" ht="21.75" customHeight="1">
      <c r="C28" s="41" t="s">
        <v>57</v>
      </c>
      <c r="D28" s="41" t="s">
        <v>156</v>
      </c>
      <c r="F28" s="42"/>
      <c r="K28" s="41"/>
      <c r="L28" s="41" t="s">
        <v>57</v>
      </c>
      <c r="M28" s="41" t="s">
        <v>156</v>
      </c>
      <c r="N28" s="41"/>
      <c r="O28" s="42"/>
      <c r="P28" s="41"/>
      <c r="Q28" s="41"/>
    </row>
    <row r="29" spans="2:19" ht="30" customHeight="1">
      <c r="D29" s="49" t="s">
        <v>157</v>
      </c>
      <c r="F29" s="111">
        <v>1.5599999999999999E-2</v>
      </c>
      <c r="G29" s="47" t="s">
        <v>74</v>
      </c>
      <c r="H29" s="48" t="s">
        <v>65</v>
      </c>
      <c r="K29" s="41"/>
      <c r="L29" s="41"/>
      <c r="M29" s="49" t="s">
        <v>157</v>
      </c>
      <c r="N29" s="41"/>
      <c r="O29" s="111">
        <v>1.5599999999999999E-2</v>
      </c>
      <c r="P29" s="47" t="s">
        <v>74</v>
      </c>
      <c r="Q29" s="48" t="s">
        <v>65</v>
      </c>
    </row>
    <row r="30" spans="2:19" ht="30" customHeight="1">
      <c r="D30" s="49" t="s">
        <v>158</v>
      </c>
      <c r="F30" s="111">
        <v>2.9499999999999998E-2</v>
      </c>
      <c r="G30" s="47" t="s">
        <v>74</v>
      </c>
      <c r="H30" s="48" t="s">
        <v>65</v>
      </c>
      <c r="K30" s="41"/>
      <c r="L30" s="41"/>
      <c r="M30" s="49" t="s">
        <v>158</v>
      </c>
      <c r="N30" s="41"/>
      <c r="O30" s="111">
        <v>2.9499999999999998E-2</v>
      </c>
      <c r="P30" s="47" t="s">
        <v>74</v>
      </c>
      <c r="Q30" s="48" t="s">
        <v>65</v>
      </c>
    </row>
    <row r="31" spans="2:19" ht="21.75" customHeight="1">
      <c r="D31" s="49" t="s">
        <v>159</v>
      </c>
      <c r="F31" s="111">
        <v>4.7300000000000002E-2</v>
      </c>
      <c r="G31" s="47" t="s">
        <v>74</v>
      </c>
      <c r="H31" s="48" t="s">
        <v>65</v>
      </c>
      <c r="K31" s="41"/>
      <c r="L31" s="41"/>
      <c r="M31" s="49" t="s">
        <v>159</v>
      </c>
      <c r="N31" s="41"/>
      <c r="O31" s="111">
        <v>4.7300000000000002E-2</v>
      </c>
      <c r="P31" s="47" t="s">
        <v>74</v>
      </c>
      <c r="Q31" s="48" t="s">
        <v>65</v>
      </c>
    </row>
    <row r="32" spans="2:19" customFormat="1" ht="21.75" customHeight="1">
      <c r="B32" t="s">
        <v>194</v>
      </c>
      <c r="I32" s="131"/>
      <c r="K32" t="s">
        <v>194</v>
      </c>
      <c r="S32" s="148"/>
    </row>
    <row r="33" spans="2:19" ht="21.75" customHeight="1">
      <c r="D33" s="120" t="s">
        <v>179</v>
      </c>
      <c r="F33" s="50">
        <f>+F19*F29*F27</f>
        <v>1.4676479999999998</v>
      </c>
      <c r="G33" s="47" t="s">
        <v>154</v>
      </c>
      <c r="H33" s="48" t="s">
        <v>175</v>
      </c>
      <c r="K33" s="41"/>
      <c r="L33" s="41"/>
      <c r="M33" s="120" t="s">
        <v>179</v>
      </c>
      <c r="N33" s="41"/>
      <c r="O33" s="50">
        <f>+O19*O29*O27</f>
        <v>1.5724799999999999</v>
      </c>
      <c r="P33" s="47" t="s">
        <v>154</v>
      </c>
      <c r="Q33" s="48" t="s">
        <v>175</v>
      </c>
    </row>
    <row r="34" spans="2:19" ht="21.75" customHeight="1">
      <c r="D34" s="120" t="s">
        <v>180</v>
      </c>
      <c r="F34" s="50">
        <f>+F20*F30*F27</f>
        <v>4.0941516</v>
      </c>
      <c r="G34" s="47" t="s">
        <v>154</v>
      </c>
      <c r="H34" s="48" t="s">
        <v>175</v>
      </c>
      <c r="K34" s="41"/>
      <c r="L34" s="41"/>
      <c r="M34" s="120" t="s">
        <v>180</v>
      </c>
      <c r="N34" s="41"/>
      <c r="O34" s="50">
        <f>+O20*O30*O27</f>
        <v>4.3865910000000001</v>
      </c>
      <c r="P34" s="47" t="s">
        <v>154</v>
      </c>
      <c r="Q34" s="48" t="s">
        <v>175</v>
      </c>
    </row>
    <row r="35" spans="2:19" ht="21.75" customHeight="1">
      <c r="D35" s="120" t="s">
        <v>181</v>
      </c>
      <c r="F35" s="50">
        <f>+F21*F31</f>
        <v>2.9846300000000001</v>
      </c>
      <c r="G35" s="47" t="s">
        <v>154</v>
      </c>
      <c r="H35" s="121" t="s">
        <v>185</v>
      </c>
      <c r="K35" s="41"/>
      <c r="L35" s="41"/>
      <c r="M35" s="120" t="s">
        <v>181</v>
      </c>
      <c r="N35" s="41"/>
      <c r="O35" s="50">
        <f>+O21*O31</f>
        <v>2.9846300000000001</v>
      </c>
      <c r="P35" s="47" t="s">
        <v>154</v>
      </c>
      <c r="Q35" s="121" t="s">
        <v>185</v>
      </c>
    </row>
    <row r="36" spans="2:19" customFormat="1" ht="5.25" customHeight="1">
      <c r="I36" s="131"/>
      <c r="S36" s="148"/>
    </row>
    <row r="37" spans="2:19" ht="21.75" customHeight="1">
      <c r="B37" t="s">
        <v>195</v>
      </c>
      <c r="D37" s="120" t="s">
        <v>182</v>
      </c>
      <c r="F37" s="50">
        <f>+F23*F29</f>
        <v>0.14757600000000001</v>
      </c>
      <c r="G37" s="47" t="s">
        <v>155</v>
      </c>
      <c r="H37" s="48" t="s">
        <v>70</v>
      </c>
      <c r="K37" t="s">
        <v>195</v>
      </c>
      <c r="L37" s="41"/>
      <c r="M37" s="120" t="s">
        <v>182</v>
      </c>
      <c r="N37" s="41"/>
      <c r="O37" s="50">
        <f>+O23*O29</f>
        <v>0.14757600000000001</v>
      </c>
      <c r="P37" s="47" t="s">
        <v>155</v>
      </c>
      <c r="Q37" s="48" t="s">
        <v>70</v>
      </c>
    </row>
    <row r="38" spans="2:19" ht="21.75" customHeight="1">
      <c r="D38" s="120" t="s">
        <v>183</v>
      </c>
      <c r="F38" s="50">
        <f>+F24*F30</f>
        <v>1.3224849999999999</v>
      </c>
      <c r="G38" s="47" t="s">
        <v>155</v>
      </c>
      <c r="H38" s="48" t="s">
        <v>70</v>
      </c>
      <c r="K38" s="41"/>
      <c r="L38" s="41"/>
      <c r="M38" s="120" t="s">
        <v>183</v>
      </c>
      <c r="N38" s="41"/>
      <c r="O38" s="50">
        <f>+O24*O30</f>
        <v>1.3224849999999999</v>
      </c>
      <c r="P38" s="47" t="s">
        <v>155</v>
      </c>
      <c r="Q38" s="48" t="s">
        <v>70</v>
      </c>
    </row>
    <row r="39" spans="2:19" ht="21.75" customHeight="1">
      <c r="D39" s="120" t="s">
        <v>184</v>
      </c>
      <c r="F39" s="50">
        <f>+F25*F31</f>
        <v>0</v>
      </c>
      <c r="G39" s="47" t="s">
        <v>155</v>
      </c>
      <c r="H39" s="48" t="s">
        <v>70</v>
      </c>
      <c r="K39" s="41"/>
      <c r="L39" s="41"/>
      <c r="M39" s="120" t="s">
        <v>184</v>
      </c>
      <c r="N39" s="41"/>
      <c r="O39" s="50">
        <f>+O25*O31</f>
        <v>0</v>
      </c>
      <c r="P39" s="47" t="s">
        <v>155</v>
      </c>
      <c r="Q39" s="48" t="s">
        <v>70</v>
      </c>
    </row>
    <row r="40" spans="2:19" ht="21.75" customHeight="1">
      <c r="D40" s="47"/>
      <c r="F40" s="41"/>
      <c r="G40" s="47"/>
      <c r="H40" s="48"/>
      <c r="K40" s="41"/>
      <c r="L40" s="41"/>
      <c r="M40" s="47"/>
      <c r="N40" s="41"/>
      <c r="O40" s="41"/>
      <c r="P40" s="47"/>
      <c r="Q40" s="48"/>
    </row>
    <row r="41" spans="2:19" ht="21.75" customHeight="1">
      <c r="C41" s="41" t="s">
        <v>57</v>
      </c>
      <c r="D41" s="41" t="s">
        <v>160</v>
      </c>
      <c r="F41" s="42"/>
      <c r="H41" s="40"/>
      <c r="K41" s="41"/>
      <c r="L41" s="41" t="s">
        <v>57</v>
      </c>
      <c r="M41" s="41" t="s">
        <v>160</v>
      </c>
      <c r="N41" s="41"/>
      <c r="O41" s="42"/>
      <c r="P41" s="41"/>
    </row>
    <row r="42" spans="2:19" ht="21.75" customHeight="1">
      <c r="B42" s="53"/>
      <c r="D42" s="49" t="s">
        <v>75</v>
      </c>
      <c r="F42" s="112">
        <v>0.1</v>
      </c>
      <c r="G42" s="47" t="s">
        <v>72</v>
      </c>
      <c r="H42" s="48" t="s">
        <v>76</v>
      </c>
      <c r="K42" s="53"/>
      <c r="L42" s="41"/>
      <c r="M42" s="49" t="s">
        <v>75</v>
      </c>
      <c r="N42" s="41"/>
      <c r="O42" s="112">
        <f>F42</f>
        <v>0.1</v>
      </c>
      <c r="P42" s="47" t="s">
        <v>72</v>
      </c>
      <c r="Q42" s="48" t="s">
        <v>76</v>
      </c>
      <c r="S42" s="148" t="s">
        <v>249</v>
      </c>
    </row>
    <row r="43" spans="2:19" ht="21.75" customHeight="1">
      <c r="B43" s="53"/>
      <c r="D43" s="49" t="s">
        <v>77</v>
      </c>
      <c r="F43" s="112">
        <v>0.2</v>
      </c>
      <c r="G43" s="47" t="s">
        <v>72</v>
      </c>
      <c r="H43" s="48" t="s">
        <v>76</v>
      </c>
      <c r="K43" s="53"/>
      <c r="L43" s="41"/>
      <c r="M43" s="49" t="s">
        <v>77</v>
      </c>
      <c r="N43" s="41"/>
      <c r="O43" s="112">
        <f t="shared" ref="O43:O44" si="0">F43</f>
        <v>0.2</v>
      </c>
      <c r="P43" s="47" t="s">
        <v>72</v>
      </c>
      <c r="Q43" s="48" t="s">
        <v>76</v>
      </c>
    </row>
    <row r="44" spans="2:19" ht="21.75" customHeight="1">
      <c r="B44" s="53"/>
      <c r="D44" s="49" t="s">
        <v>78</v>
      </c>
      <c r="F44" s="112">
        <v>0.5</v>
      </c>
      <c r="G44" s="47" t="s">
        <v>72</v>
      </c>
      <c r="H44" s="48" t="s">
        <v>73</v>
      </c>
      <c r="K44" s="53"/>
      <c r="L44" s="41"/>
      <c r="M44" s="49" t="s">
        <v>78</v>
      </c>
      <c r="N44" s="41"/>
      <c r="O44" s="112">
        <f t="shared" si="0"/>
        <v>0.5</v>
      </c>
      <c r="P44" s="47" t="s">
        <v>72</v>
      </c>
      <c r="Q44" s="48" t="s">
        <v>73</v>
      </c>
    </row>
    <row r="45" spans="2:19" ht="21.75" customHeight="1">
      <c r="B45" s="54"/>
      <c r="C45" s="41" t="s">
        <v>57</v>
      </c>
      <c r="D45" s="119" t="s">
        <v>186</v>
      </c>
      <c r="E45" s="44"/>
      <c r="F45" s="42"/>
      <c r="K45"/>
      <c r="L45" s="41" t="s">
        <v>57</v>
      </c>
      <c r="M45" s="119" t="s">
        <v>201</v>
      </c>
      <c r="N45" s="44"/>
      <c r="O45" s="42"/>
      <c r="P45" s="41"/>
      <c r="Q45" s="41"/>
      <c r="S45" s="148" t="s">
        <v>221</v>
      </c>
    </row>
    <row r="46" spans="2:19" ht="21.75" customHeight="1">
      <c r="B46"/>
      <c r="D46" s="49" t="s">
        <v>82</v>
      </c>
      <c r="E46" s="44"/>
      <c r="F46" s="112">
        <v>0.5</v>
      </c>
      <c r="G46" s="47" t="s">
        <v>72</v>
      </c>
      <c r="H46" s="48" t="s">
        <v>73</v>
      </c>
      <c r="K46"/>
      <c r="L46" s="41"/>
      <c r="M46" s="120" t="s">
        <v>202</v>
      </c>
      <c r="N46" s="44"/>
      <c r="O46" s="112">
        <f>F46</f>
        <v>0.5</v>
      </c>
      <c r="P46" s="47" t="s">
        <v>72</v>
      </c>
      <c r="Q46" s="48" t="s">
        <v>73</v>
      </c>
      <c r="S46" s="148" t="s">
        <v>222</v>
      </c>
    </row>
    <row r="47" spans="2:19" ht="21.75" customHeight="1">
      <c r="B47" s="54"/>
      <c r="D47" s="49" t="s">
        <v>83</v>
      </c>
      <c r="E47" s="44"/>
      <c r="F47" s="112">
        <v>0.4</v>
      </c>
      <c r="G47" s="47" t="s">
        <v>72</v>
      </c>
      <c r="H47" s="48" t="s">
        <v>73</v>
      </c>
      <c r="K47" s="54"/>
      <c r="L47" s="41"/>
      <c r="M47" s="120" t="s">
        <v>203</v>
      </c>
      <c r="N47" s="44"/>
      <c r="O47" s="112">
        <f t="shared" ref="O47:O48" si="1">F47</f>
        <v>0.4</v>
      </c>
      <c r="P47" s="47" t="s">
        <v>72</v>
      </c>
      <c r="Q47" s="48" t="s">
        <v>73</v>
      </c>
      <c r="S47" s="148" t="s">
        <v>223</v>
      </c>
    </row>
    <row r="48" spans="2:19" ht="21.75" customHeight="1">
      <c r="B48" s="54"/>
      <c r="D48" s="49" t="s">
        <v>84</v>
      </c>
      <c r="E48" s="44"/>
      <c r="F48" s="112">
        <v>0.1</v>
      </c>
      <c r="G48" s="47" t="s">
        <v>72</v>
      </c>
      <c r="H48" s="48" t="s">
        <v>73</v>
      </c>
      <c r="K48" s="54"/>
      <c r="L48" s="41"/>
      <c r="M48" s="120" t="s">
        <v>204</v>
      </c>
      <c r="N48" s="44"/>
      <c r="O48" s="112">
        <f t="shared" si="1"/>
        <v>0.1</v>
      </c>
      <c r="P48" s="47" t="s">
        <v>72</v>
      </c>
      <c r="Q48" s="48" t="s">
        <v>73</v>
      </c>
      <c r="S48" s="148" t="s">
        <v>224</v>
      </c>
    </row>
    <row r="49" spans="1:19" ht="21.75" customHeight="1">
      <c r="B49" s="54" t="s">
        <v>187</v>
      </c>
      <c r="E49" s="44"/>
      <c r="F49"/>
      <c r="G49" s="47"/>
      <c r="H49" s="48"/>
      <c r="K49" s="54" t="s">
        <v>187</v>
      </c>
      <c r="L49" s="41"/>
      <c r="M49" s="41"/>
      <c r="N49" s="44"/>
      <c r="O49"/>
      <c r="P49" s="47"/>
      <c r="Q49" s="48"/>
    </row>
    <row r="50" spans="1:19" ht="21.75" customHeight="1">
      <c r="B50" s="41" t="s">
        <v>79</v>
      </c>
      <c r="C50" s="41" t="s">
        <v>57</v>
      </c>
      <c r="D50" s="41" t="s">
        <v>161</v>
      </c>
      <c r="F50" s="42"/>
      <c r="K50" s="41" t="s">
        <v>79</v>
      </c>
      <c r="L50" s="41" t="s">
        <v>57</v>
      </c>
      <c r="M50" s="41" t="s">
        <v>161</v>
      </c>
      <c r="N50" s="41"/>
      <c r="O50" s="42"/>
      <c r="P50" s="41"/>
      <c r="Q50" s="41"/>
      <c r="S50" s="148" t="s">
        <v>225</v>
      </c>
    </row>
    <row r="51" spans="1:19" ht="21.75" customHeight="1">
      <c r="B51" s="54" t="s">
        <v>80</v>
      </c>
      <c r="C51" s="41" t="s">
        <v>57</v>
      </c>
      <c r="D51" s="41" t="s">
        <v>162</v>
      </c>
      <c r="F51" s="42"/>
      <c r="K51" s="54" t="s">
        <v>80</v>
      </c>
      <c r="L51" s="41" t="s">
        <v>57</v>
      </c>
      <c r="M51" s="41" t="s">
        <v>162</v>
      </c>
      <c r="N51" s="41"/>
      <c r="O51" s="42"/>
      <c r="P51" s="41"/>
      <c r="Q51" s="41"/>
      <c r="S51" s="148" t="s">
        <v>226</v>
      </c>
    </row>
    <row r="52" spans="1:19" ht="21.75" customHeight="1">
      <c r="B52" s="54" t="s">
        <v>81</v>
      </c>
      <c r="C52" s="41" t="s">
        <v>57</v>
      </c>
      <c r="D52" s="41" t="s">
        <v>163</v>
      </c>
      <c r="E52" s="44"/>
      <c r="F52" s="42"/>
      <c r="K52" s="54" t="s">
        <v>81</v>
      </c>
      <c r="L52" s="41" t="s">
        <v>57</v>
      </c>
      <c r="M52" s="41" t="s">
        <v>163</v>
      </c>
      <c r="N52" s="44"/>
      <c r="O52" s="42"/>
      <c r="P52" s="41"/>
      <c r="Q52" s="41"/>
    </row>
    <row r="53" spans="1:19" ht="21.75" customHeight="1">
      <c r="F53" s="42"/>
      <c r="K53" s="41"/>
      <c r="L53" s="41"/>
      <c r="M53" s="41"/>
      <c r="N53" s="41"/>
      <c r="O53" s="42"/>
      <c r="P53" s="41"/>
      <c r="Q53" s="41"/>
    </row>
    <row r="54" spans="1:19">
      <c r="A54" s="39"/>
      <c r="B54" s="39" t="s">
        <v>85</v>
      </c>
      <c r="C54" s="39"/>
      <c r="D54" s="39"/>
      <c r="E54" s="39"/>
      <c r="F54" s="39"/>
      <c r="G54" s="39"/>
      <c r="H54" s="39"/>
      <c r="J54" s="39"/>
      <c r="K54" s="39" t="s">
        <v>85</v>
      </c>
      <c r="L54" s="39"/>
      <c r="M54" s="39"/>
      <c r="N54" s="39"/>
      <c r="O54" s="39"/>
      <c r="P54" s="39"/>
      <c r="Q54" s="39"/>
    </row>
    <row r="55" spans="1:19" ht="21.75" customHeight="1">
      <c r="B55"/>
      <c r="E55" s="44" t="s">
        <v>96</v>
      </c>
      <c r="K55"/>
      <c r="L55" s="41"/>
      <c r="M55" s="41"/>
      <c r="N55" s="44" t="s">
        <v>196</v>
      </c>
      <c r="P55" s="41"/>
      <c r="Q55" s="41"/>
    </row>
    <row r="56" spans="1:19" ht="21.75" customHeight="1">
      <c r="F56" s="42"/>
      <c r="K56" s="41"/>
      <c r="L56" s="41"/>
      <c r="M56" s="41"/>
      <c r="N56" s="41"/>
      <c r="O56" s="42"/>
      <c r="P56" s="41"/>
      <c r="Q56" s="41"/>
    </row>
    <row r="57" spans="1:19" ht="21.75" customHeight="1">
      <c r="C57" s="41" t="s">
        <v>57</v>
      </c>
      <c r="D57" s="41" t="s">
        <v>164</v>
      </c>
      <c r="F57" s="55">
        <f>F60*F59</f>
        <v>2.3417125510898149</v>
      </c>
      <c r="G57" s="56" t="s">
        <v>86</v>
      </c>
      <c r="K57" s="41"/>
      <c r="L57" s="41" t="s">
        <v>57</v>
      </c>
      <c r="M57" s="41" t="s">
        <v>164</v>
      </c>
      <c r="N57" s="41"/>
      <c r="O57" s="55">
        <f>O59*O61/O62*O63*O60</f>
        <v>4.5702646048062432</v>
      </c>
      <c r="P57" s="56" t="s">
        <v>86</v>
      </c>
      <c r="Q57" s="48" t="s">
        <v>70</v>
      </c>
    </row>
    <row r="58" spans="1:19" ht="21.75" customHeight="1">
      <c r="F58" s="55">
        <f>+F57/12</f>
        <v>0.19514271259081792</v>
      </c>
      <c r="G58" s="56" t="s">
        <v>87</v>
      </c>
      <c r="K58" s="41"/>
      <c r="L58" s="41"/>
      <c r="M58" s="41"/>
      <c r="N58" s="41"/>
      <c r="O58" s="55">
        <f>+O57/12</f>
        <v>0.38085538373385358</v>
      </c>
      <c r="P58" s="56" t="s">
        <v>87</v>
      </c>
      <c r="Q58" s="48" t="s">
        <v>70</v>
      </c>
    </row>
    <row r="59" spans="1:19" ht="30.75" customHeight="1">
      <c r="B59"/>
      <c r="C59" s="41" t="s">
        <v>57</v>
      </c>
      <c r="D59" s="41" t="s">
        <v>88</v>
      </c>
      <c r="F59" s="57">
        <f>IF(Cover!D24="Electricity",PE!F10,IF(Cover!D24="Renewable fuel",PE!F36,PE!F55))</f>
        <v>2.3651999999999996E-3</v>
      </c>
      <c r="G59" s="41" t="s">
        <v>89</v>
      </c>
      <c r="K59"/>
      <c r="L59" s="41" t="s">
        <v>57</v>
      </c>
      <c r="M59" s="127" t="s">
        <v>197</v>
      </c>
      <c r="N59" s="41"/>
      <c r="O59" s="150">
        <f>PE!F13</f>
        <v>0.73</v>
      </c>
      <c r="P59" s="119" t="s">
        <v>112</v>
      </c>
      <c r="Q59" s="135" t="s">
        <v>103</v>
      </c>
      <c r="S59" s="148" t="s">
        <v>232</v>
      </c>
    </row>
    <row r="60" spans="1:19" ht="21.75" customHeight="1">
      <c r="B60"/>
      <c r="C60" s="41" t="s">
        <v>57</v>
      </c>
      <c r="D60" s="41" t="s">
        <v>146</v>
      </c>
      <c r="F60" s="58">
        <f>+F12</f>
        <v>990.06957174438321</v>
      </c>
      <c r="G60" s="41" t="s">
        <v>90</v>
      </c>
      <c r="K60"/>
      <c r="L60" s="41" t="s">
        <v>57</v>
      </c>
      <c r="M60" s="41" t="s">
        <v>146</v>
      </c>
      <c r="N60" s="41"/>
      <c r="O60" s="58">
        <f>+O12</f>
        <v>128.98829208355275</v>
      </c>
      <c r="P60" s="41" t="s">
        <v>90</v>
      </c>
      <c r="Q60" s="48" t="s">
        <v>70</v>
      </c>
      <c r="S60" s="148" t="s">
        <v>231</v>
      </c>
    </row>
    <row r="61" spans="1:19" ht="34.5" customHeight="1">
      <c r="F61" s="42"/>
      <c r="K61" s="123"/>
      <c r="L61" s="124" t="s">
        <v>57</v>
      </c>
      <c r="M61" s="124" t="s">
        <v>198</v>
      </c>
      <c r="N61" s="41"/>
      <c r="O61" s="128">
        <f>SUMPRODUCT(O46:O48,O66:O68)/1000</f>
        <v>2.2919999999999998E-3</v>
      </c>
      <c r="P61" s="119" t="s">
        <v>200</v>
      </c>
      <c r="Q61" s="48" t="s">
        <v>70</v>
      </c>
      <c r="S61" s="149" t="s">
        <v>234</v>
      </c>
    </row>
    <row r="62" spans="1:19" s="38" customFormat="1" ht="28">
      <c r="I62" s="103"/>
      <c r="J62" s="41"/>
      <c r="K62" s="125"/>
      <c r="L62" s="124" t="s">
        <v>57</v>
      </c>
      <c r="M62" s="124" t="s">
        <v>199</v>
      </c>
      <c r="N62" s="41"/>
      <c r="O62" s="129">
        <v>1.7000000000000001E-4</v>
      </c>
      <c r="P62" s="119" t="s">
        <v>200</v>
      </c>
      <c r="Q62" s="48" t="s">
        <v>76</v>
      </c>
      <c r="S62" s="148" t="s">
        <v>228</v>
      </c>
    </row>
    <row r="63" spans="1:19">
      <c r="K63" s="62">
        <v>3.5999999999999999E-3</v>
      </c>
      <c r="L63" s="41" t="s">
        <v>57</v>
      </c>
      <c r="M63" s="41" t="s">
        <v>104</v>
      </c>
      <c r="N63" s="41"/>
      <c r="O63" s="109">
        <v>3.5999999999999999E-3</v>
      </c>
      <c r="P63" s="41" t="s">
        <v>105</v>
      </c>
      <c r="Q63" s="48" t="s">
        <v>76</v>
      </c>
      <c r="S63" s="148" t="s">
        <v>230</v>
      </c>
    </row>
    <row r="64" spans="1:19" ht="41.25" customHeight="1">
      <c r="K64" s="41"/>
      <c r="L64" s="41"/>
      <c r="M64" s="41"/>
      <c r="N64" s="41"/>
      <c r="P64" s="41"/>
      <c r="Q64" s="41"/>
      <c r="S64" s="149" t="s">
        <v>229</v>
      </c>
    </row>
    <row r="65" spans="11:19" ht="41.25" customHeight="1">
      <c r="K65"/>
      <c r="L65" s="41" t="s">
        <v>57</v>
      </c>
      <c r="M65" s="127" t="s">
        <v>205</v>
      </c>
      <c r="N65" s="44"/>
      <c r="O65" s="42"/>
      <c r="P65" s="119"/>
      <c r="Q65" s="41"/>
      <c r="S65" s="148" t="s">
        <v>227</v>
      </c>
    </row>
    <row r="66" spans="11:19" ht="14.25">
      <c r="K66"/>
      <c r="L66" s="41"/>
      <c r="M66" s="120" t="s">
        <v>206</v>
      </c>
      <c r="N66" s="44"/>
      <c r="O66" s="126">
        <v>2.83</v>
      </c>
      <c r="P66" s="119" t="s">
        <v>209</v>
      </c>
      <c r="Q66" s="48" t="s">
        <v>76</v>
      </c>
    </row>
    <row r="67" spans="11:19">
      <c r="K67" s="54"/>
      <c r="L67" s="41"/>
      <c r="M67" s="120" t="s">
        <v>208</v>
      </c>
      <c r="N67" s="44"/>
      <c r="O67" s="126">
        <v>2.02</v>
      </c>
      <c r="P67" s="119" t="s">
        <v>209</v>
      </c>
      <c r="Q67" s="48" t="s">
        <v>76</v>
      </c>
    </row>
    <row r="68" spans="11:19">
      <c r="K68" s="54"/>
      <c r="L68" s="41"/>
      <c r="M68" s="120" t="s">
        <v>207</v>
      </c>
      <c r="N68" s="44"/>
      <c r="O68" s="126">
        <v>0.69</v>
      </c>
      <c r="P68" s="119" t="s">
        <v>209</v>
      </c>
      <c r="Q68" s="48" t="s">
        <v>76</v>
      </c>
    </row>
    <row r="69" spans="11:19">
      <c r="K69" s="41"/>
      <c r="L69" s="41"/>
      <c r="M69" s="41"/>
      <c r="N69" s="41"/>
      <c r="P69" s="41"/>
      <c r="Q69" s="41"/>
    </row>
    <row r="76" spans="11:19">
      <c r="M76" s="147" t="s">
        <v>244</v>
      </c>
    </row>
    <row r="77" spans="11:19">
      <c r="M77" s="154" t="s">
        <v>242</v>
      </c>
      <c r="N77" s="148"/>
      <c r="O77" s="148"/>
      <c r="P77" s="148"/>
      <c r="Q77" s="148"/>
    </row>
    <row r="78" spans="11:19">
      <c r="M78" s="148"/>
      <c r="N78" s="148"/>
      <c r="O78" s="148"/>
      <c r="P78" s="148"/>
      <c r="Q78" s="148"/>
    </row>
    <row r="79" spans="11:19">
      <c r="M79" s="148" t="str">
        <f>[4]PE!D14</f>
        <v>Amount of electricity used in the project scenario by device per day</v>
      </c>
      <c r="N79" s="148"/>
      <c r="O79" s="159">
        <f>[4]PE!F14</f>
        <v>2</v>
      </c>
      <c r="P79" s="155" t="str">
        <f>[4]PE!G14</f>
        <v>kWh/day/hh</v>
      </c>
    </row>
    <row r="80" spans="11:19">
      <c r="M80" s="148" t="s">
        <v>241</v>
      </c>
      <c r="N80" s="148"/>
      <c r="O80" s="156">
        <f>$O$61/$O$62</f>
        <v>13.482352941176469</v>
      </c>
      <c r="P80" s="155"/>
    </row>
    <row r="81" spans="10:17">
      <c r="M81" s="148" t="s">
        <v>237</v>
      </c>
      <c r="N81" s="148"/>
      <c r="O81" s="156">
        <f>O79*O80</f>
        <v>26.964705882352938</v>
      </c>
      <c r="P81" s="155" t="str">
        <f>P79</f>
        <v>kWh/day/hh</v>
      </c>
    </row>
    <row r="82" spans="10:17">
      <c r="M82" s="148"/>
      <c r="N82" s="148"/>
      <c r="O82" s="157">
        <f>O81*PE!$F$17/1000</f>
        <v>9.7072941176470576E-5</v>
      </c>
      <c r="P82" s="155" t="s">
        <v>238</v>
      </c>
    </row>
    <row r="83" spans="10:17">
      <c r="M83" s="154"/>
      <c r="N83" s="148"/>
      <c r="O83" s="158">
        <f>O82/$O$30</f>
        <v>3.2906081754735788E-3</v>
      </c>
      <c r="P83" s="155" t="s">
        <v>239</v>
      </c>
    </row>
    <row r="84" spans="10:17">
      <c r="M84" s="148" t="s">
        <v>243</v>
      </c>
      <c r="N84" s="148"/>
      <c r="O84" s="160">
        <f>O83*1000</f>
        <v>3.290608175473579</v>
      </c>
      <c r="P84" s="155" t="s">
        <v>240</v>
      </c>
    </row>
    <row r="85" spans="10:17">
      <c r="M85" s="146"/>
      <c r="N85" s="146"/>
      <c r="O85" s="153"/>
      <c r="P85" s="153"/>
      <c r="Q85" s="146"/>
    </row>
    <row r="87" spans="10:17" ht="14.25">
      <c r="J87"/>
    </row>
    <row r="91" spans="10:17" ht="14.25">
      <c r="J91"/>
    </row>
    <row r="109" spans="10:10">
      <c r="J109" s="39"/>
    </row>
    <row r="110" spans="10:10" ht="22.5" customHeight="1"/>
    <row r="111" spans="10:10" ht="18.75" customHeight="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B972-13D1-4FBC-BB4E-4F0B59CA8052}">
  <sheetPr codeName="Sheet3">
    <tabColor theme="6"/>
  </sheetPr>
  <dimension ref="A1:M69"/>
  <sheetViews>
    <sheetView showGridLines="0" zoomScale="80" zoomScaleNormal="80" workbookViewId="0">
      <pane xSplit="3" ySplit="6" topLeftCell="D7" activePane="bottomRight" state="frozen"/>
      <selection activeCell="F49" sqref="F49"/>
      <selection pane="topRight" activeCell="F49" sqref="F49"/>
      <selection pane="bottomLeft" activeCell="F49" sqref="F49"/>
      <selection pane="bottomRight" activeCell="F17" sqref="F17"/>
    </sheetView>
  </sheetViews>
  <sheetFormatPr defaultColWidth="9" defaultRowHeight="14"/>
  <cols>
    <col min="1" max="1" width="5" style="41" customWidth="1"/>
    <col min="2" max="2" width="19.125" style="41" customWidth="1"/>
    <col min="3" max="3" width="4.625" style="41" customWidth="1"/>
    <col min="4" max="4" width="63.5" style="41" customWidth="1"/>
    <col min="5" max="5" width="9" style="41"/>
    <col min="6" max="6" width="15.5" style="40" bestFit="1" customWidth="1"/>
    <col min="7" max="7" width="17.375" style="41" customWidth="1"/>
    <col min="8" max="8" width="37.25" style="41" bestFit="1" customWidth="1"/>
    <col min="9" max="9" width="7.25" style="40" customWidth="1"/>
    <col min="10" max="13" width="9" style="146"/>
    <col min="14" max="16384" width="9" style="40"/>
  </cols>
  <sheetData>
    <row r="1" spans="1:10" s="38" customFormat="1" ht="17.5">
      <c r="A1" s="37"/>
      <c r="B1" s="37" t="s">
        <v>49</v>
      </c>
      <c r="C1" s="37"/>
      <c r="D1" s="37" t="s">
        <v>50</v>
      </c>
      <c r="E1" s="37" t="s">
        <v>51</v>
      </c>
      <c r="F1" s="37" t="s">
        <v>52</v>
      </c>
      <c r="G1" s="37" t="s">
        <v>53</v>
      </c>
      <c r="H1" s="37" t="s">
        <v>54</v>
      </c>
      <c r="J1" s="151" t="s">
        <v>250</v>
      </c>
    </row>
    <row r="2" spans="1:10" ht="15.75">
      <c r="A2" s="59"/>
      <c r="B2" s="60" t="s">
        <v>91</v>
      </c>
      <c r="C2" s="61"/>
      <c r="D2" s="61"/>
      <c r="E2" s="61"/>
      <c r="F2" s="61"/>
      <c r="G2" s="61"/>
      <c r="H2" s="61"/>
    </row>
    <row r="3" spans="1:10" ht="17.5">
      <c r="J3" s="151" t="s">
        <v>236</v>
      </c>
    </row>
    <row r="4" spans="1:10" ht="16.5">
      <c r="C4" s="41" t="s">
        <v>57</v>
      </c>
      <c r="D4" s="41" t="s">
        <v>165</v>
      </c>
      <c r="F4" s="93">
        <f>IF(Cover!D24="Electricity",PE!F25,IF(Cover!D24="Renewable fuel",PE!F47,PE!F66))</f>
        <v>0.77963999999999989</v>
      </c>
      <c r="G4" s="56" t="s">
        <v>92</v>
      </c>
      <c r="J4" s="144"/>
    </row>
    <row r="5" spans="1:10">
      <c r="F5" s="93">
        <f>+F4/12</f>
        <v>6.4969999999999986E-2</v>
      </c>
      <c r="G5" s="56" t="s">
        <v>93</v>
      </c>
    </row>
    <row r="7" spans="1:10" ht="15.75">
      <c r="A7" s="59"/>
      <c r="B7" s="60" t="s">
        <v>94</v>
      </c>
      <c r="C7" s="61"/>
      <c r="D7" s="61"/>
      <c r="E7" s="61"/>
      <c r="F7" s="61"/>
      <c r="G7" s="61"/>
      <c r="H7" s="61"/>
    </row>
    <row r="8" spans="1:10">
      <c r="A8" s="39"/>
      <c r="B8" s="39" t="s">
        <v>95</v>
      </c>
      <c r="C8" s="39"/>
      <c r="D8" s="39"/>
      <c r="E8" s="39"/>
      <c r="F8" s="39"/>
      <c r="G8" s="39"/>
      <c r="H8" s="39"/>
    </row>
    <row r="9" spans="1:10">
      <c r="B9" s="141"/>
      <c r="E9" s="142" t="s">
        <v>189</v>
      </c>
      <c r="F9" s="42"/>
    </row>
    <row r="10" spans="1:10">
      <c r="B10" s="141"/>
      <c r="E10" s="142"/>
      <c r="F10" s="94">
        <f>F13*F17*F18</f>
        <v>2.3651999999999996E-3</v>
      </c>
      <c r="G10" s="41" t="s">
        <v>89</v>
      </c>
    </row>
    <row r="11" spans="1:10">
      <c r="F11" s="42"/>
      <c r="G11" s="54"/>
    </row>
    <row r="12" spans="1:10">
      <c r="F12" s="42"/>
      <c r="G12" s="54"/>
    </row>
    <row r="13" spans="1:10" ht="36" customHeight="1">
      <c r="C13" s="41" t="s">
        <v>57</v>
      </c>
      <c r="D13" s="43" t="s">
        <v>166</v>
      </c>
      <c r="E13" s="43"/>
      <c r="F13" s="95">
        <f>(F14/1000)*F19</f>
        <v>0.73</v>
      </c>
      <c r="G13" s="43" t="s">
        <v>97</v>
      </c>
      <c r="J13" s="148" t="s">
        <v>232</v>
      </c>
    </row>
    <row r="14" spans="1:10" ht="29.25" customHeight="1">
      <c r="B14" s="41" t="s">
        <v>98</v>
      </c>
      <c r="D14" s="43" t="s">
        <v>167</v>
      </c>
      <c r="E14" s="43"/>
      <c r="F14" s="95">
        <f>+F15*F16</f>
        <v>2</v>
      </c>
      <c r="G14" s="41" t="s">
        <v>99</v>
      </c>
      <c r="H14" s="62" t="s">
        <v>70</v>
      </c>
      <c r="J14" s="148" t="s">
        <v>231</v>
      </c>
    </row>
    <row r="15" spans="1:10" ht="29.25" customHeight="1">
      <c r="D15" s="43" t="s">
        <v>168</v>
      </c>
      <c r="E15" s="43"/>
      <c r="F15" s="152">
        <f>2/F16</f>
        <v>0.4</v>
      </c>
      <c r="G15" s="41" t="s">
        <v>100</v>
      </c>
      <c r="H15" s="136" t="s">
        <v>103</v>
      </c>
      <c r="J15" s="149" t="s">
        <v>235</v>
      </c>
    </row>
    <row r="16" spans="1:10" ht="29.25" customHeight="1">
      <c r="D16" s="43" t="s">
        <v>101</v>
      </c>
      <c r="E16" s="43"/>
      <c r="F16" s="113">
        <v>5</v>
      </c>
      <c r="G16" s="41" t="s">
        <v>102</v>
      </c>
      <c r="H16" s="62" t="s">
        <v>103</v>
      </c>
    </row>
    <row r="17" spans="1:8">
      <c r="B17" s="62">
        <v>3.5999999999999999E-3</v>
      </c>
      <c r="C17" s="41" t="s">
        <v>57</v>
      </c>
      <c r="D17" s="41" t="s">
        <v>104</v>
      </c>
      <c r="F17" s="109">
        <v>3.5999999999999999E-3</v>
      </c>
      <c r="G17" s="41" t="s">
        <v>105</v>
      </c>
    </row>
    <row r="18" spans="1:8">
      <c r="C18" s="41" t="s">
        <v>57</v>
      </c>
      <c r="D18" s="41" t="s">
        <v>106</v>
      </c>
      <c r="F18" s="112">
        <v>0.9</v>
      </c>
      <c r="G18" s="41" t="s">
        <v>72</v>
      </c>
      <c r="H18" s="62" t="s">
        <v>103</v>
      </c>
    </row>
    <row r="19" spans="1:8">
      <c r="B19" s="54" t="s">
        <v>107</v>
      </c>
      <c r="C19" s="41" t="s">
        <v>57</v>
      </c>
      <c r="D19" s="41" t="s">
        <v>108</v>
      </c>
      <c r="F19" s="109">
        <v>365</v>
      </c>
      <c r="G19" s="41" t="s">
        <v>109</v>
      </c>
      <c r="H19" s="41" t="s">
        <v>110</v>
      </c>
    </row>
    <row r="20" spans="1:8">
      <c r="B20" s="54"/>
      <c r="F20" s="41"/>
    </row>
    <row r="21" spans="1:8">
      <c r="A21" s="39"/>
      <c r="B21" s="39" t="s">
        <v>111</v>
      </c>
      <c r="C21" s="39"/>
      <c r="D21" s="39"/>
      <c r="E21" s="39"/>
      <c r="F21" s="39"/>
      <c r="G21" s="39"/>
      <c r="H21" s="39"/>
    </row>
    <row r="22" spans="1:8">
      <c r="F22" s="42"/>
    </row>
    <row r="23" spans="1:8">
      <c r="B23" s="43"/>
      <c r="E23" s="44" t="s">
        <v>190</v>
      </c>
      <c r="F23" s="42"/>
    </row>
    <row r="24" spans="1:8">
      <c r="F24" s="42"/>
    </row>
    <row r="25" spans="1:8" ht="16.5">
      <c r="C25" s="41" t="s">
        <v>57</v>
      </c>
      <c r="D25" s="41" t="s">
        <v>165</v>
      </c>
      <c r="F25" s="93">
        <f>F27*F28*(1+F29)</f>
        <v>0.77963999999999989</v>
      </c>
      <c r="G25" s="56" t="s">
        <v>92</v>
      </c>
    </row>
    <row r="26" spans="1:8">
      <c r="F26" s="93">
        <f>+F25/12</f>
        <v>6.4969999999999986E-2</v>
      </c>
      <c r="G26" s="56" t="s">
        <v>93</v>
      </c>
    </row>
    <row r="27" spans="1:8" ht="32.25" customHeight="1">
      <c r="C27" s="41" t="s">
        <v>57</v>
      </c>
      <c r="D27" s="43" t="s">
        <v>169</v>
      </c>
      <c r="E27" s="43"/>
      <c r="F27" s="95">
        <f>PE!F13</f>
        <v>0.73</v>
      </c>
      <c r="G27" s="43" t="s">
        <v>112</v>
      </c>
      <c r="H27" s="43"/>
    </row>
    <row r="28" spans="1:8" ht="33.75" customHeight="1">
      <c r="C28" s="41" t="s">
        <v>57</v>
      </c>
      <c r="D28" s="43" t="s">
        <v>170</v>
      </c>
      <c r="E28" s="43"/>
      <c r="F28" s="113">
        <v>0.89</v>
      </c>
      <c r="G28" s="63" t="s">
        <v>113</v>
      </c>
      <c r="H28" s="42" t="s">
        <v>114</v>
      </c>
    </row>
    <row r="29" spans="1:8" ht="31.5" customHeight="1">
      <c r="C29" s="41" t="s">
        <v>57</v>
      </c>
      <c r="D29" s="43" t="s">
        <v>171</v>
      </c>
      <c r="E29" s="43"/>
      <c r="F29" s="114">
        <v>0.2</v>
      </c>
      <c r="G29" s="43" t="s">
        <v>72</v>
      </c>
      <c r="H29" s="41" t="s">
        <v>115</v>
      </c>
    </row>
    <row r="31" spans="1:8" ht="15.75">
      <c r="A31" s="59"/>
      <c r="B31" s="60" t="s">
        <v>116</v>
      </c>
      <c r="C31" s="61"/>
      <c r="D31" s="61"/>
      <c r="E31" s="61"/>
      <c r="F31" s="61"/>
      <c r="G31" s="61"/>
      <c r="H31" s="61"/>
    </row>
    <row r="33" spans="2:8">
      <c r="E33" s="44" t="s">
        <v>191</v>
      </c>
    </row>
    <row r="34" spans="2:8" ht="14.25">
      <c r="B34"/>
    </row>
    <row r="36" spans="2:8" ht="24.65" customHeight="1">
      <c r="B36" s="64" t="s">
        <v>117</v>
      </c>
      <c r="C36" s="41" t="s">
        <v>57</v>
      </c>
      <c r="D36" s="41" t="s">
        <v>88</v>
      </c>
      <c r="F36" s="94">
        <f>+F38*F39*F40+F43*F44*F45</f>
        <v>5.9539999999999992E-3</v>
      </c>
      <c r="H36" s="41" t="s">
        <v>89</v>
      </c>
    </row>
    <row r="37" spans="2:8" ht="24.65" customHeight="1">
      <c r="B37" s="65" t="s">
        <v>118</v>
      </c>
    </row>
    <row r="38" spans="2:8" ht="28">
      <c r="B38" s="65" t="s">
        <v>119</v>
      </c>
      <c r="C38" s="66" t="s">
        <v>120</v>
      </c>
      <c r="D38" s="66" t="s">
        <v>172</v>
      </c>
      <c r="F38" s="115">
        <v>0.16</v>
      </c>
      <c r="H38" s="41" t="s">
        <v>121</v>
      </c>
    </row>
    <row r="39" spans="2:8" ht="28">
      <c r="B39" s="65" t="s">
        <v>122</v>
      </c>
      <c r="C39" s="66" t="s">
        <v>120</v>
      </c>
      <c r="D39" s="66" t="s">
        <v>173</v>
      </c>
      <c r="F39" s="115">
        <v>0.04</v>
      </c>
      <c r="H39" s="41" t="s">
        <v>74</v>
      </c>
    </row>
    <row r="40" spans="2:8" ht="28">
      <c r="B40" s="67" t="s">
        <v>123</v>
      </c>
      <c r="C40" s="66" t="s">
        <v>120</v>
      </c>
      <c r="D40" s="66" t="s">
        <v>174</v>
      </c>
      <c r="F40" s="114">
        <v>0.5</v>
      </c>
      <c r="H40" s="41" t="s">
        <v>103</v>
      </c>
    </row>
    <row r="42" spans="2:8">
      <c r="B42" s="65" t="s">
        <v>124</v>
      </c>
    </row>
    <row r="43" spans="2:8" ht="28">
      <c r="B43" s="65" t="s">
        <v>119</v>
      </c>
      <c r="C43" s="66" t="s">
        <v>120</v>
      </c>
      <c r="D43" s="66" t="s">
        <v>172</v>
      </c>
      <c r="F43" s="115">
        <v>0.10199999999999999</v>
      </c>
      <c r="H43" s="41" t="s">
        <v>121</v>
      </c>
    </row>
    <row r="44" spans="2:8" ht="28">
      <c r="B44" s="65" t="s">
        <v>122</v>
      </c>
      <c r="C44" s="66" t="s">
        <v>120</v>
      </c>
      <c r="D44" s="66" t="s">
        <v>173</v>
      </c>
      <c r="F44" s="115">
        <v>4.4999999999999998E-2</v>
      </c>
      <c r="H44" s="41" t="s">
        <v>74</v>
      </c>
    </row>
    <row r="45" spans="2:8" ht="28">
      <c r="B45" s="67" t="s">
        <v>123</v>
      </c>
      <c r="C45" s="66" t="s">
        <v>120</v>
      </c>
      <c r="D45" s="66" t="s">
        <v>174</v>
      </c>
      <c r="F45" s="114">
        <v>0.6</v>
      </c>
      <c r="H45" s="41" t="s">
        <v>103</v>
      </c>
    </row>
    <row r="47" spans="2:8" ht="16.5">
      <c r="C47" s="41" t="s">
        <v>57</v>
      </c>
      <c r="D47" s="41" t="s">
        <v>165</v>
      </c>
      <c r="F47" s="93">
        <v>0</v>
      </c>
      <c r="G47" s="56" t="s">
        <v>92</v>
      </c>
      <c r="H47" s="41" t="s">
        <v>125</v>
      </c>
    </row>
    <row r="48" spans="2:8">
      <c r="F48" s="93">
        <f>+F47/12</f>
        <v>0</v>
      </c>
      <c r="G48" s="56" t="s">
        <v>93</v>
      </c>
    </row>
    <row r="50" spans="1:8" ht="15.75">
      <c r="A50" s="59"/>
      <c r="B50" s="60" t="s">
        <v>126</v>
      </c>
      <c r="C50" s="61"/>
      <c r="D50" s="61"/>
      <c r="E50" s="61"/>
      <c r="F50" s="61"/>
      <c r="G50" s="61"/>
      <c r="H50" s="61"/>
    </row>
    <row r="52" spans="1:8">
      <c r="E52" s="44" t="s">
        <v>191</v>
      </c>
    </row>
    <row r="55" spans="1:8">
      <c r="B55" s="64" t="s">
        <v>117</v>
      </c>
      <c r="C55" s="41" t="s">
        <v>57</v>
      </c>
      <c r="D55" s="41" t="s">
        <v>88</v>
      </c>
      <c r="F55" s="94">
        <f>+F57*F58*F59+F62*F63*F64</f>
        <v>6.0000000000000001E-3</v>
      </c>
      <c r="H55" s="41" t="s">
        <v>89</v>
      </c>
    </row>
    <row r="56" spans="1:8">
      <c r="B56" s="65" t="s">
        <v>118</v>
      </c>
    </row>
    <row r="57" spans="1:8" ht="28">
      <c r="B57" s="65" t="s">
        <v>119</v>
      </c>
      <c r="C57" s="66" t="s">
        <v>120</v>
      </c>
      <c r="D57" s="66" t="s">
        <v>172</v>
      </c>
      <c r="F57" s="115">
        <v>0.105</v>
      </c>
      <c r="H57" s="41" t="s">
        <v>121</v>
      </c>
    </row>
    <row r="58" spans="1:8" ht="28">
      <c r="B58" s="65" t="s">
        <v>122</v>
      </c>
      <c r="C58" s="66" t="s">
        <v>120</v>
      </c>
      <c r="D58" s="66" t="s">
        <v>173</v>
      </c>
      <c r="F58" s="115">
        <v>0.08</v>
      </c>
      <c r="H58" s="41" t="s">
        <v>74</v>
      </c>
    </row>
    <row r="59" spans="1:8" ht="28">
      <c r="B59" s="67" t="s">
        <v>123</v>
      </c>
      <c r="C59" s="66" t="s">
        <v>120</v>
      </c>
      <c r="D59" s="66" t="s">
        <v>174</v>
      </c>
      <c r="F59" s="114">
        <v>0.5</v>
      </c>
      <c r="H59" s="41" t="s">
        <v>103</v>
      </c>
    </row>
    <row r="61" spans="1:8">
      <c r="B61" s="65" t="s">
        <v>124</v>
      </c>
    </row>
    <row r="62" spans="1:8" ht="28">
      <c r="B62" s="65" t="s">
        <v>119</v>
      </c>
      <c r="C62" s="66" t="s">
        <v>120</v>
      </c>
      <c r="D62" s="66" t="s">
        <v>172</v>
      </c>
      <c r="F62" s="115">
        <v>0.05</v>
      </c>
      <c r="H62" s="41" t="s">
        <v>121</v>
      </c>
    </row>
    <row r="63" spans="1:8" ht="28">
      <c r="B63" s="65" t="s">
        <v>122</v>
      </c>
      <c r="C63" s="66" t="s">
        <v>120</v>
      </c>
      <c r="D63" s="66" t="s">
        <v>173</v>
      </c>
      <c r="F63" s="115">
        <v>0.06</v>
      </c>
      <c r="H63" s="41" t="s">
        <v>74</v>
      </c>
    </row>
    <row r="64" spans="1:8" ht="28">
      <c r="B64" s="67" t="s">
        <v>123</v>
      </c>
      <c r="C64" s="66" t="s">
        <v>120</v>
      </c>
      <c r="D64" s="66" t="s">
        <v>174</v>
      </c>
      <c r="F64" s="114">
        <v>0.6</v>
      </c>
      <c r="H64" s="41" t="s">
        <v>103</v>
      </c>
    </row>
    <row r="66" spans="3:7" ht="16.5">
      <c r="C66" s="41" t="s">
        <v>57</v>
      </c>
      <c r="D66" s="41" t="s">
        <v>165</v>
      </c>
      <c r="F66" s="93">
        <f>+BE!F57*PE!F68/PE!F69</f>
        <v>0.80086569247271677</v>
      </c>
      <c r="G66" s="56" t="s">
        <v>92</v>
      </c>
    </row>
    <row r="67" spans="3:7">
      <c r="F67" s="93">
        <f>+F66/12</f>
        <v>6.6738807706059736E-2</v>
      </c>
      <c r="G67" s="56" t="s">
        <v>93</v>
      </c>
    </row>
    <row r="68" spans="3:7">
      <c r="D68" s="41" t="s">
        <v>127</v>
      </c>
      <c r="F68" s="96">
        <f>SUMPRODUCT(BE!F42:F44,BE!F46:F48)/SUM(BE!F46:F48)</f>
        <v>0.18</v>
      </c>
    </row>
    <row r="69" spans="3:7">
      <c r="D69" s="41" t="s">
        <v>128</v>
      </c>
      <c r="F69" s="96">
        <f>(F57*F58*F59+F62*F63*F64)/(F57*F58+F62*F63)</f>
        <v>0.52631578947368418</v>
      </c>
    </row>
  </sheetData>
  <mergeCells count="2">
    <mergeCell ref="B9:B10"/>
    <mergeCell ref="E9: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EBB6-7FBF-43A8-A3A5-3E492974137E}">
  <sheetPr codeName="Sheet4">
    <tabColor theme="6"/>
  </sheetPr>
  <dimension ref="A1:H5"/>
  <sheetViews>
    <sheetView showGridLines="0" workbookViewId="0">
      <pane xSplit="2" ySplit="1" topLeftCell="C2" activePane="bottomRight" state="frozen"/>
      <selection activeCell="F49" sqref="F49"/>
      <selection pane="topRight" activeCell="F49" sqref="F49"/>
      <selection pane="bottomLeft" activeCell="F49" sqref="F49"/>
      <selection pane="bottomRight" activeCell="F3" sqref="F3"/>
    </sheetView>
  </sheetViews>
  <sheetFormatPr defaultColWidth="9" defaultRowHeight="14"/>
  <cols>
    <col min="1" max="1" width="9" style="40"/>
    <col min="2" max="2" width="34.375" style="40" customWidth="1"/>
    <col min="3" max="16384" width="9" style="40"/>
  </cols>
  <sheetData>
    <row r="1" spans="1:8">
      <c r="A1" s="39"/>
      <c r="B1" s="39" t="s">
        <v>129</v>
      </c>
      <c r="C1" s="39"/>
      <c r="D1" s="39"/>
      <c r="E1" s="39"/>
      <c r="F1" s="39"/>
      <c r="G1" s="39"/>
      <c r="H1" s="39"/>
    </row>
    <row r="2" spans="1:8">
      <c r="A2" s="41"/>
      <c r="B2" s="41" t="s">
        <v>130</v>
      </c>
      <c r="C2" s="41"/>
      <c r="D2" s="41"/>
      <c r="E2" s="41"/>
      <c r="F2" s="97">
        <f>BE!F4*(1-F4)</f>
        <v>0.22851323024031236</v>
      </c>
      <c r="G2" s="56" t="s">
        <v>92</v>
      </c>
      <c r="H2" s="41"/>
    </row>
    <row r="3" spans="1:8">
      <c r="A3" s="41"/>
      <c r="B3" s="41"/>
      <c r="C3" s="41"/>
      <c r="D3" s="41"/>
      <c r="E3" s="41"/>
      <c r="F3" s="98">
        <f>+F2/12</f>
        <v>1.9042769186692697E-2</v>
      </c>
      <c r="G3" s="56" t="s">
        <v>93</v>
      </c>
      <c r="H3" s="41"/>
    </row>
    <row r="4" spans="1:8">
      <c r="A4" s="41"/>
      <c r="B4" s="41" t="s">
        <v>131</v>
      </c>
      <c r="C4" s="41"/>
      <c r="D4" s="41"/>
      <c r="E4" s="41"/>
      <c r="F4" s="109">
        <v>0.95</v>
      </c>
      <c r="G4" s="41" t="s">
        <v>132</v>
      </c>
      <c r="H4" s="48" t="s">
        <v>76</v>
      </c>
    </row>
    <row r="5" spans="1:8">
      <c r="A5" s="41"/>
      <c r="B5" s="41"/>
      <c r="C5" s="41"/>
      <c r="D5" s="41"/>
      <c r="E5" s="41"/>
      <c r="F5" s="42"/>
      <c r="G5" s="41"/>
      <c r="H5"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E645-69DC-4FE9-90E5-6AF0EA6B6BEB}">
  <sheetPr codeName="Sheet5">
    <tabColor theme="9"/>
  </sheetPr>
  <dimension ref="A1:S112"/>
  <sheetViews>
    <sheetView showGridLines="0" zoomScale="80" zoomScaleNormal="80" workbookViewId="0">
      <pane xSplit="3" ySplit="8" topLeftCell="D9" activePane="bottomRight" state="frozen"/>
      <selection pane="topRight" activeCell="D1" sqref="D1"/>
      <selection pane="bottomLeft" activeCell="A9" sqref="A9"/>
      <selection pane="bottomRight" activeCell="M50" sqref="M50"/>
    </sheetView>
  </sheetViews>
  <sheetFormatPr defaultColWidth="9" defaultRowHeight="14"/>
  <cols>
    <col min="1" max="1" width="4.625" style="40" customWidth="1"/>
    <col min="2" max="2" width="13.875" style="40" customWidth="1"/>
    <col min="3" max="3" width="13.125" style="40" customWidth="1"/>
    <col min="4" max="4" width="13.875" style="40" customWidth="1"/>
    <col min="5" max="6" width="12.625" style="40" customWidth="1"/>
    <col min="7" max="7" width="14.125" style="92" customWidth="1"/>
    <col min="8" max="8" width="13.5" style="92" customWidth="1"/>
    <col min="9" max="9" width="9" style="92"/>
    <col min="10" max="10" width="24.625" style="92" customWidth="1"/>
    <col min="11" max="11" width="10.625" style="40" bestFit="1" customWidth="1"/>
    <col min="12" max="12" width="12.5" style="40" customWidth="1"/>
    <col min="13" max="13" width="11.875" style="40" customWidth="1"/>
    <col min="14" max="14" width="12.5" style="40" customWidth="1"/>
    <col min="15" max="15" width="18.625" style="40" customWidth="1"/>
    <col min="16" max="16" width="9" style="40"/>
    <col min="17" max="17" width="35.625" style="40" customWidth="1"/>
    <col min="18" max="18" width="19.625" style="91" customWidth="1"/>
    <col min="19" max="19" width="87.125" style="40" customWidth="1"/>
    <col min="20" max="16384" width="9" style="40"/>
  </cols>
  <sheetData>
    <row r="1" spans="1:19" ht="16.5" customHeight="1">
      <c r="A1" s="68" t="s">
        <v>133</v>
      </c>
      <c r="B1" s="69"/>
      <c r="C1" s="69"/>
      <c r="D1" s="69"/>
      <c r="E1" s="69"/>
      <c r="F1" s="69"/>
      <c r="G1" s="70"/>
      <c r="H1" s="70"/>
      <c r="I1" s="70"/>
      <c r="J1" s="70"/>
      <c r="K1" s="69"/>
      <c r="L1" s="69"/>
      <c r="M1" s="69"/>
      <c r="N1" s="69"/>
      <c r="O1" s="71"/>
      <c r="P1" s="72"/>
      <c r="Q1" s="72"/>
      <c r="R1" s="73"/>
      <c r="S1" s="72"/>
    </row>
    <row r="2" spans="1:19" ht="16.5" customHeight="1">
      <c r="A2" s="68"/>
      <c r="B2" s="69"/>
      <c r="C2" s="69"/>
      <c r="D2" s="69"/>
      <c r="E2" s="69"/>
      <c r="F2" s="69"/>
      <c r="G2" s="70"/>
      <c r="H2" s="70"/>
      <c r="I2" s="70"/>
      <c r="J2" s="70"/>
      <c r="K2" s="69"/>
      <c r="L2" s="69"/>
      <c r="M2" s="69"/>
      <c r="N2" s="69"/>
      <c r="O2" s="71"/>
      <c r="P2" s="72"/>
      <c r="Q2" s="72"/>
      <c r="R2" s="73"/>
      <c r="S2" s="72"/>
    </row>
    <row r="3" spans="1:19" ht="16.5" customHeight="1">
      <c r="A3" s="68"/>
      <c r="B3" s="69"/>
      <c r="C3" s="69"/>
      <c r="D3" s="69"/>
      <c r="E3" s="69"/>
      <c r="F3" s="69"/>
      <c r="G3" s="70"/>
      <c r="H3" s="70"/>
      <c r="I3" s="70"/>
      <c r="J3" s="70"/>
      <c r="K3" s="69"/>
      <c r="L3" s="69"/>
      <c r="M3" s="69"/>
      <c r="N3" s="69"/>
      <c r="O3" s="71"/>
      <c r="P3" s="72"/>
      <c r="Q3" s="72"/>
      <c r="R3" s="73"/>
      <c r="S3" s="72"/>
    </row>
    <row r="4" spans="1:19" ht="16.5" customHeight="1">
      <c r="A4" s="68"/>
      <c r="B4" s="69"/>
      <c r="C4" s="69"/>
      <c r="D4" s="69"/>
      <c r="E4" s="69"/>
      <c r="F4" s="69"/>
      <c r="G4" s="70"/>
      <c r="H4" s="70"/>
      <c r="I4" s="70"/>
      <c r="J4" s="70"/>
      <c r="K4" s="69"/>
      <c r="L4" s="69"/>
      <c r="M4" s="69"/>
      <c r="N4" s="69"/>
      <c r="O4" s="71"/>
      <c r="P4" s="72"/>
      <c r="Q4" s="72"/>
      <c r="R4" s="73"/>
      <c r="S4" s="72"/>
    </row>
    <row r="5" spans="1:19" ht="16.5" customHeight="1">
      <c r="A5" s="68"/>
      <c r="B5" s="69"/>
      <c r="C5" s="69"/>
      <c r="D5" s="69"/>
      <c r="E5" s="69"/>
      <c r="F5" s="69"/>
      <c r="G5" s="70"/>
      <c r="H5" s="70"/>
      <c r="I5" s="70"/>
      <c r="J5" s="70"/>
      <c r="K5" s="69"/>
      <c r="L5" s="69"/>
      <c r="M5" s="69"/>
      <c r="N5" s="69"/>
      <c r="O5" s="71"/>
      <c r="P5" s="72"/>
      <c r="Q5" s="72"/>
      <c r="R5" s="73"/>
      <c r="S5" s="72"/>
    </row>
    <row r="6" spans="1:19" ht="16.5" customHeight="1">
      <c r="G6" s="40"/>
      <c r="H6" s="40"/>
      <c r="I6" s="40"/>
      <c r="J6" s="40"/>
      <c r="R6" s="40"/>
    </row>
    <row r="7" spans="1:19" ht="15.75">
      <c r="B7" s="143" t="s">
        <v>134</v>
      </c>
      <c r="C7" s="143"/>
      <c r="D7" s="143"/>
      <c r="E7" s="74"/>
      <c r="F7" s="74"/>
      <c r="G7" s="75"/>
      <c r="H7" s="75"/>
      <c r="I7" s="75"/>
      <c r="J7" s="75"/>
      <c r="O7" s="76"/>
      <c r="P7" s="72"/>
      <c r="Q7" s="72"/>
      <c r="R7" s="73"/>
      <c r="S7" s="72"/>
    </row>
    <row r="8" spans="1:19" ht="15.75">
      <c r="B8" s="77" t="s">
        <v>135</v>
      </c>
      <c r="C8" s="78" t="s">
        <v>136</v>
      </c>
      <c r="D8" s="77" t="s">
        <v>137</v>
      </c>
      <c r="E8" s="74" t="s">
        <v>138</v>
      </c>
      <c r="F8" s="74" t="s">
        <v>139</v>
      </c>
      <c r="G8" s="75" t="s">
        <v>140</v>
      </c>
      <c r="H8" s="75" t="s">
        <v>141</v>
      </c>
      <c r="I8" s="75" t="s">
        <v>142</v>
      </c>
      <c r="J8" s="75" t="s">
        <v>143</v>
      </c>
      <c r="O8" s="76"/>
      <c r="P8" s="72"/>
      <c r="Q8" s="72"/>
      <c r="R8" s="73"/>
      <c r="S8" s="72"/>
    </row>
    <row r="9" spans="1:19">
      <c r="B9" s="79">
        <f>Cover!D18</f>
        <v>44509</v>
      </c>
      <c r="C9" s="79">
        <f>IF(Cover!$D$18=Cover!$D$19,DATE(YEAR(B9),MONTH(B9)+1,DAY(B9)-1),B10-1)</f>
        <v>44547</v>
      </c>
      <c r="D9" s="116">
        <v>1</v>
      </c>
      <c r="E9" s="101">
        <v>0</v>
      </c>
      <c r="F9" s="117">
        <v>1</v>
      </c>
      <c r="G9" s="99">
        <f>+E9*F9*BE!$F$5</f>
        <v>0</v>
      </c>
      <c r="H9" s="100">
        <f>+E9*F9*PE!$F$5</f>
        <v>0</v>
      </c>
      <c r="I9" s="99">
        <f>+E9*F9*LE!$F$3</f>
        <v>0</v>
      </c>
      <c r="J9" s="99">
        <f>+G9-H9-I9</f>
        <v>0</v>
      </c>
      <c r="K9" s="80"/>
      <c r="O9" s="81"/>
      <c r="P9" s="81"/>
      <c r="Q9" s="81"/>
      <c r="R9" s="82"/>
      <c r="S9" s="81"/>
    </row>
    <row r="10" spans="1:19">
      <c r="B10" s="79">
        <f>IF(Cover!$D$18=Cover!$D$19,C9+1,DATE(YEAR(Cover!$D$18),MONTH(Cover!$D$18)+1,DAY(Cover!$D$19)))</f>
        <v>44548</v>
      </c>
      <c r="C10" s="79">
        <f>DATE(YEAR(B10),MONTH(B10)+1,DAY(B10)-1)</f>
        <v>44578</v>
      </c>
      <c r="D10" s="116">
        <v>0</v>
      </c>
      <c r="E10" s="101">
        <f>D9</f>
        <v>1</v>
      </c>
      <c r="F10" s="117">
        <v>1</v>
      </c>
      <c r="G10" s="99">
        <f>+E10*F10*BE!$F$5</f>
        <v>0.38085538373385358</v>
      </c>
      <c r="H10" s="100">
        <f>+E10*F10*PE!$F$5</f>
        <v>6.4969999999999986E-2</v>
      </c>
      <c r="I10" s="99">
        <f>+E10*F10*LE!$F$3</f>
        <v>1.9042769186692697E-2</v>
      </c>
      <c r="J10" s="99">
        <f t="shared" ref="J10:J54" si="0">+G10-H10-I10</f>
        <v>0.29684261454716093</v>
      </c>
      <c r="K10" s="80"/>
      <c r="O10" s="51"/>
      <c r="P10" s="51"/>
      <c r="Q10" s="51"/>
      <c r="R10" s="83"/>
      <c r="S10" s="51"/>
    </row>
    <row r="11" spans="1:19">
      <c r="B11" s="79">
        <f>+C10+1</f>
        <v>44579</v>
      </c>
      <c r="C11" s="79">
        <f t="shared" ref="C11:C74" si="1">DATE(YEAR(B11),MONTH(B11)+1,DAY(B11)-1)</f>
        <v>44609</v>
      </c>
      <c r="D11" s="116">
        <v>0</v>
      </c>
      <c r="E11" s="101">
        <f>D10+E10</f>
        <v>1</v>
      </c>
      <c r="F11" s="117">
        <v>1</v>
      </c>
      <c r="G11" s="99">
        <f>+E11*F11*BE!$F$5</f>
        <v>0.38085538373385358</v>
      </c>
      <c r="H11" s="100">
        <f>+E11*F11*PE!$F$5</f>
        <v>6.4969999999999986E-2</v>
      </c>
      <c r="I11" s="99">
        <f>+E11*F11*LE!$F$3</f>
        <v>1.9042769186692697E-2</v>
      </c>
      <c r="J11" s="99">
        <f t="shared" si="0"/>
        <v>0.29684261454716093</v>
      </c>
      <c r="O11" s="51"/>
      <c r="P11" s="51"/>
      <c r="Q11" s="51"/>
      <c r="R11" s="84"/>
      <c r="S11" s="51"/>
    </row>
    <row r="12" spans="1:19">
      <c r="B12" s="79">
        <f t="shared" ref="B12:B75" si="2">+C11+1</f>
        <v>44610</v>
      </c>
      <c r="C12" s="79">
        <f t="shared" si="1"/>
        <v>44637</v>
      </c>
      <c r="D12" s="116">
        <v>0</v>
      </c>
      <c r="E12" s="101">
        <f>D11+E11</f>
        <v>1</v>
      </c>
      <c r="F12" s="117">
        <v>1</v>
      </c>
      <c r="G12" s="99">
        <f>+E12*F12*BE!$F$5</f>
        <v>0.38085538373385358</v>
      </c>
      <c r="H12" s="100">
        <f>+E12*F12*PE!$F$5</f>
        <v>6.4969999999999986E-2</v>
      </c>
      <c r="I12" s="99">
        <f>+E12*F12*LE!$F$3</f>
        <v>1.9042769186692697E-2</v>
      </c>
      <c r="J12" s="99">
        <f t="shared" si="0"/>
        <v>0.29684261454716093</v>
      </c>
      <c r="O12" s="51"/>
      <c r="P12" s="51"/>
      <c r="Q12" s="51"/>
      <c r="R12" s="83"/>
      <c r="S12" s="51"/>
    </row>
    <row r="13" spans="1:19">
      <c r="B13" s="79">
        <f t="shared" si="2"/>
        <v>44638</v>
      </c>
      <c r="C13" s="79">
        <f t="shared" si="1"/>
        <v>44668</v>
      </c>
      <c r="D13" s="116">
        <v>100</v>
      </c>
      <c r="E13" s="101">
        <f t="shared" ref="E13:E54" si="3">D12+E12</f>
        <v>1</v>
      </c>
      <c r="F13" s="117">
        <v>1</v>
      </c>
      <c r="G13" s="99">
        <f>+E13*F13*BE!$F$5</f>
        <v>0.38085538373385358</v>
      </c>
      <c r="H13" s="100">
        <f>+E13*F13*PE!$F$5</f>
        <v>6.4969999999999986E-2</v>
      </c>
      <c r="I13" s="99">
        <f>+E13*F13*LE!$F$3</f>
        <v>1.9042769186692697E-2</v>
      </c>
      <c r="J13" s="99">
        <f t="shared" si="0"/>
        <v>0.29684261454716093</v>
      </c>
      <c r="O13" s="51"/>
      <c r="P13" s="51"/>
      <c r="Q13" s="51"/>
      <c r="R13" s="85"/>
      <c r="S13" s="51"/>
    </row>
    <row r="14" spans="1:19">
      <c r="B14" s="79">
        <f t="shared" si="2"/>
        <v>44669</v>
      </c>
      <c r="C14" s="79">
        <f t="shared" si="1"/>
        <v>44698</v>
      </c>
      <c r="D14" s="116">
        <v>100</v>
      </c>
      <c r="E14" s="101">
        <f t="shared" si="3"/>
        <v>101</v>
      </c>
      <c r="F14" s="117">
        <v>1</v>
      </c>
      <c r="G14" s="99">
        <f>+E14*F14*BE!$F$5</f>
        <v>38.466393757119214</v>
      </c>
      <c r="H14" s="100">
        <f>+E14*F14*PE!$F$5</f>
        <v>6.5619699999999987</v>
      </c>
      <c r="I14" s="99">
        <f>+E14*F14*LE!$F$3</f>
        <v>1.9233196878559624</v>
      </c>
      <c r="J14" s="99">
        <f t="shared" si="0"/>
        <v>29.981104069263253</v>
      </c>
      <c r="O14" s="51"/>
      <c r="P14" s="51"/>
      <c r="Q14" s="51"/>
      <c r="R14" s="83"/>
      <c r="S14" s="51"/>
    </row>
    <row r="15" spans="1:19">
      <c r="B15" s="79">
        <f t="shared" si="2"/>
        <v>44699</v>
      </c>
      <c r="C15" s="79">
        <f t="shared" si="1"/>
        <v>44729</v>
      </c>
      <c r="D15" s="116">
        <v>100</v>
      </c>
      <c r="E15" s="101">
        <f t="shared" si="3"/>
        <v>201</v>
      </c>
      <c r="F15" s="117">
        <v>1</v>
      </c>
      <c r="G15" s="99">
        <f>+E15*F15*BE!$F$5</f>
        <v>76.551932130504568</v>
      </c>
      <c r="H15" s="100">
        <f>+E15*F15*PE!$F$5</f>
        <v>13.058969999999997</v>
      </c>
      <c r="I15" s="99">
        <f>+E15*F15*LE!$F$3</f>
        <v>3.827596606525232</v>
      </c>
      <c r="J15" s="99">
        <f t="shared" si="0"/>
        <v>59.665365523979339</v>
      </c>
      <c r="O15" s="72"/>
      <c r="P15" s="72"/>
      <c r="Q15" s="72"/>
      <c r="R15" s="73"/>
      <c r="S15" s="72"/>
    </row>
    <row r="16" spans="1:19">
      <c r="B16" s="79">
        <f t="shared" si="2"/>
        <v>44730</v>
      </c>
      <c r="C16" s="79">
        <f t="shared" si="1"/>
        <v>44759</v>
      </c>
      <c r="D16" s="116">
        <v>100</v>
      </c>
      <c r="E16" s="101">
        <f t="shared" si="3"/>
        <v>301</v>
      </c>
      <c r="F16" s="117">
        <v>1</v>
      </c>
      <c r="G16" s="99">
        <f>+E16*F16*BE!$F$5</f>
        <v>114.63747050388993</v>
      </c>
      <c r="H16" s="100">
        <f>+E16*F16*PE!$F$5</f>
        <v>19.555969999999995</v>
      </c>
      <c r="I16" s="99">
        <f>+E16*F16*LE!$F$3</f>
        <v>5.7318735251945014</v>
      </c>
      <c r="J16" s="99">
        <f t="shared" si="0"/>
        <v>89.34962697869544</v>
      </c>
      <c r="O16" s="72"/>
      <c r="P16" s="72"/>
      <c r="Q16" s="72"/>
      <c r="R16" s="73"/>
      <c r="S16" s="72"/>
    </row>
    <row r="17" spans="2:19">
      <c r="B17" s="79">
        <f t="shared" si="2"/>
        <v>44760</v>
      </c>
      <c r="C17" s="79">
        <f t="shared" si="1"/>
        <v>44790</v>
      </c>
      <c r="D17" s="116">
        <v>100</v>
      </c>
      <c r="E17" s="101">
        <f t="shared" si="3"/>
        <v>401</v>
      </c>
      <c r="F17" s="117">
        <v>1</v>
      </c>
      <c r="G17" s="99">
        <f>+E17*F17*BE!$F$5</f>
        <v>152.72300887727528</v>
      </c>
      <c r="H17" s="100">
        <f>+E17*F17*PE!$F$5</f>
        <v>26.052969999999995</v>
      </c>
      <c r="I17" s="99">
        <f>+E17*F17*LE!$F$3</f>
        <v>7.6361504438637713</v>
      </c>
      <c r="J17" s="99">
        <f t="shared" si="0"/>
        <v>119.03388843341152</v>
      </c>
      <c r="O17" s="42"/>
      <c r="P17" s="72"/>
      <c r="Q17" s="72"/>
      <c r="R17" s="73"/>
      <c r="S17" s="72"/>
    </row>
    <row r="18" spans="2:19">
      <c r="B18" s="79">
        <f t="shared" si="2"/>
        <v>44791</v>
      </c>
      <c r="C18" s="79">
        <f t="shared" si="1"/>
        <v>44821</v>
      </c>
      <c r="D18" s="116">
        <v>100</v>
      </c>
      <c r="E18" s="101">
        <f t="shared" si="3"/>
        <v>501</v>
      </c>
      <c r="F18" s="117">
        <v>1</v>
      </c>
      <c r="G18" s="99">
        <f>+E18*F18*BE!$F$5</f>
        <v>190.80854725066064</v>
      </c>
      <c r="H18" s="100">
        <f>+E18*F18*PE!$F$5</f>
        <v>32.549969999999995</v>
      </c>
      <c r="I18" s="99">
        <f>+E18*F18*LE!$F$3</f>
        <v>9.5404273625330411</v>
      </c>
      <c r="J18" s="99">
        <f t="shared" si="0"/>
        <v>148.71814988812758</v>
      </c>
      <c r="O18" s="72"/>
      <c r="P18" s="72"/>
      <c r="Q18" s="72"/>
      <c r="R18" s="73"/>
      <c r="S18" s="72"/>
    </row>
    <row r="19" spans="2:19">
      <c r="B19" s="79">
        <f t="shared" si="2"/>
        <v>44822</v>
      </c>
      <c r="C19" s="79">
        <f t="shared" si="1"/>
        <v>44851</v>
      </c>
      <c r="D19" s="116">
        <v>100</v>
      </c>
      <c r="E19" s="101">
        <f t="shared" si="3"/>
        <v>601</v>
      </c>
      <c r="F19" s="117">
        <v>1</v>
      </c>
      <c r="G19" s="99">
        <f>+E19*F19*BE!$F$5</f>
        <v>228.894085624046</v>
      </c>
      <c r="H19" s="100">
        <f>+E19*F19*PE!$F$5</f>
        <v>39.046969999999995</v>
      </c>
      <c r="I19" s="99">
        <f>+E19*F19*LE!$F$3</f>
        <v>11.444704281202311</v>
      </c>
      <c r="J19" s="99">
        <f t="shared" si="0"/>
        <v>178.40241134284369</v>
      </c>
      <c r="O19" s="86"/>
      <c r="P19" s="72"/>
      <c r="Q19" s="72"/>
      <c r="R19" s="87"/>
      <c r="S19" s="72"/>
    </row>
    <row r="20" spans="2:19" ht="15.75">
      <c r="B20" s="79">
        <f t="shared" si="2"/>
        <v>44852</v>
      </c>
      <c r="C20" s="79">
        <f t="shared" si="1"/>
        <v>44882</v>
      </c>
      <c r="D20" s="116">
        <v>100</v>
      </c>
      <c r="E20" s="101">
        <f t="shared" si="3"/>
        <v>701</v>
      </c>
      <c r="F20" s="117">
        <v>1</v>
      </c>
      <c r="G20" s="99">
        <f>+E20*F20*BE!$F$5</f>
        <v>266.97962399743136</v>
      </c>
      <c r="H20" s="100">
        <f>+E20*F20*PE!$F$5</f>
        <v>45.543969999999987</v>
      </c>
      <c r="I20" s="99">
        <f>+E20*F20*LE!$F$3</f>
        <v>13.348981199871581</v>
      </c>
      <c r="J20" s="99">
        <f t="shared" si="0"/>
        <v>208.08667279755977</v>
      </c>
      <c r="P20" s="88"/>
      <c r="R20" s="40"/>
    </row>
    <row r="21" spans="2:19" ht="15.75">
      <c r="B21" s="79">
        <f t="shared" si="2"/>
        <v>44883</v>
      </c>
      <c r="C21" s="79">
        <f t="shared" si="1"/>
        <v>44912</v>
      </c>
      <c r="D21" s="116">
        <v>100</v>
      </c>
      <c r="E21" s="101">
        <f t="shared" si="3"/>
        <v>801</v>
      </c>
      <c r="F21" s="117">
        <v>1</v>
      </c>
      <c r="G21" s="99">
        <f>+E21*F21*BE!$F$5</f>
        <v>305.06516237081672</v>
      </c>
      <c r="H21" s="100">
        <f>+E21*F21*PE!$F$5</f>
        <v>52.040969999999987</v>
      </c>
      <c r="I21" s="99">
        <f>+E21*F21*LE!$F$3</f>
        <v>15.253258118540851</v>
      </c>
      <c r="J21" s="99">
        <f t="shared" si="0"/>
        <v>237.77093425227588</v>
      </c>
      <c r="O21" s="89"/>
      <c r="R21" s="40"/>
    </row>
    <row r="22" spans="2:19">
      <c r="B22" s="79">
        <f t="shared" si="2"/>
        <v>44913</v>
      </c>
      <c r="C22" s="79">
        <f t="shared" si="1"/>
        <v>44943</v>
      </c>
      <c r="D22" s="116">
        <v>100</v>
      </c>
      <c r="E22" s="101">
        <f t="shared" si="3"/>
        <v>901</v>
      </c>
      <c r="F22" s="117">
        <v>1</v>
      </c>
      <c r="G22" s="99">
        <f>+E22*F22*BE!$F$5</f>
        <v>343.15070074420208</v>
      </c>
      <c r="H22" s="100">
        <f>+E22*F22*PE!$F$5</f>
        <v>58.537969999999987</v>
      </c>
      <c r="I22" s="99">
        <f>+E22*F22*LE!$F$3</f>
        <v>17.157535037210121</v>
      </c>
      <c r="J22" s="99">
        <f t="shared" si="0"/>
        <v>267.45519570699201</v>
      </c>
      <c r="O22" s="43"/>
      <c r="P22" s="43"/>
      <c r="Q22" s="43"/>
      <c r="R22" s="63"/>
      <c r="S22" s="43"/>
    </row>
    <row r="23" spans="2:19">
      <c r="B23" s="79">
        <f t="shared" si="2"/>
        <v>44944</v>
      </c>
      <c r="C23" s="79">
        <f t="shared" si="1"/>
        <v>44974</v>
      </c>
      <c r="D23" s="116">
        <v>100</v>
      </c>
      <c r="E23" s="101">
        <f t="shared" si="3"/>
        <v>1001</v>
      </c>
      <c r="F23" s="117">
        <v>1</v>
      </c>
      <c r="G23" s="99">
        <f>+E23*F23*BE!$F$5</f>
        <v>381.23623911758744</v>
      </c>
      <c r="H23" s="100">
        <f>+E23*F23*PE!$F$5</f>
        <v>65.034969999999987</v>
      </c>
      <c r="I23" s="99">
        <f>+E23*F23*LE!$F$3</f>
        <v>19.061811955879389</v>
      </c>
      <c r="J23" s="99">
        <f t="shared" si="0"/>
        <v>297.13945716170809</v>
      </c>
      <c r="O23" s="43"/>
      <c r="P23" s="43"/>
      <c r="Q23" s="43"/>
      <c r="R23" s="63"/>
      <c r="S23" s="90"/>
    </row>
    <row r="24" spans="2:19">
      <c r="B24" s="79">
        <f t="shared" si="2"/>
        <v>44975</v>
      </c>
      <c r="C24" s="79">
        <f t="shared" si="1"/>
        <v>45002</v>
      </c>
      <c r="D24" s="116">
        <v>100</v>
      </c>
      <c r="E24" s="101">
        <f t="shared" si="3"/>
        <v>1101</v>
      </c>
      <c r="F24" s="117">
        <v>1</v>
      </c>
      <c r="G24" s="99">
        <f>+E24*F24*BE!$F$5</f>
        <v>419.32177749097281</v>
      </c>
      <c r="H24" s="100">
        <f>+E24*F24*PE!$F$5</f>
        <v>71.531969999999987</v>
      </c>
      <c r="I24" s="99">
        <f>+E24*F24*LE!$F$3</f>
        <v>20.96608887454866</v>
      </c>
      <c r="J24" s="99">
        <f t="shared" si="0"/>
        <v>326.82371861642412</v>
      </c>
      <c r="O24" s="43"/>
      <c r="P24" s="43"/>
      <c r="Q24" s="43"/>
      <c r="R24" s="63"/>
      <c r="S24" s="43"/>
    </row>
    <row r="25" spans="2:19">
      <c r="B25" s="79">
        <f t="shared" si="2"/>
        <v>45003</v>
      </c>
      <c r="C25" s="79">
        <f t="shared" si="1"/>
        <v>45033</v>
      </c>
      <c r="D25" s="116">
        <v>100</v>
      </c>
      <c r="E25" s="101">
        <f t="shared" si="3"/>
        <v>1201</v>
      </c>
      <c r="F25" s="117">
        <v>1</v>
      </c>
      <c r="G25" s="99">
        <f>+E25*F25*BE!$F$5</f>
        <v>457.40731586435817</v>
      </c>
      <c r="H25" s="100">
        <f>+E25*F25*PE!$F$5</f>
        <v>78.028969999999987</v>
      </c>
      <c r="I25" s="99">
        <f>+E25*F25*LE!$F$3</f>
        <v>22.870365793217928</v>
      </c>
      <c r="J25" s="99">
        <f t="shared" si="0"/>
        <v>356.5079800711402</v>
      </c>
    </row>
    <row r="26" spans="2:19">
      <c r="B26" s="79">
        <f t="shared" si="2"/>
        <v>45034</v>
      </c>
      <c r="C26" s="79">
        <f t="shared" si="1"/>
        <v>45063</v>
      </c>
      <c r="D26" s="116">
        <v>100</v>
      </c>
      <c r="E26" s="101">
        <f t="shared" si="3"/>
        <v>1301</v>
      </c>
      <c r="F26" s="117">
        <v>1</v>
      </c>
      <c r="G26" s="99">
        <f>+E26*F26*BE!$F$5</f>
        <v>495.49285423774353</v>
      </c>
      <c r="H26" s="100">
        <f>+E26*F26*PE!$F$5</f>
        <v>84.525969999999987</v>
      </c>
      <c r="I26" s="99">
        <f>+E26*F26*LE!$F$3</f>
        <v>24.7746427118872</v>
      </c>
      <c r="J26" s="99">
        <f t="shared" si="0"/>
        <v>386.19224152585633</v>
      </c>
    </row>
    <row r="27" spans="2:19">
      <c r="B27" s="79">
        <f t="shared" si="2"/>
        <v>45064</v>
      </c>
      <c r="C27" s="79">
        <f t="shared" si="1"/>
        <v>45094</v>
      </c>
      <c r="D27" s="116">
        <v>100</v>
      </c>
      <c r="E27" s="101">
        <f t="shared" si="3"/>
        <v>1401</v>
      </c>
      <c r="F27" s="117">
        <v>1</v>
      </c>
      <c r="G27" s="99">
        <f>+E27*F27*BE!$F$5</f>
        <v>533.57839261112883</v>
      </c>
      <c r="H27" s="100">
        <f>+E27*F27*PE!$F$5</f>
        <v>91.022969999999987</v>
      </c>
      <c r="I27" s="99">
        <f>+E27*F27*LE!$F$3</f>
        <v>26.678919630556468</v>
      </c>
      <c r="J27" s="99">
        <f t="shared" si="0"/>
        <v>415.87650298057235</v>
      </c>
    </row>
    <row r="28" spans="2:19">
      <c r="B28" s="79">
        <f t="shared" si="2"/>
        <v>45095</v>
      </c>
      <c r="C28" s="79">
        <f t="shared" si="1"/>
        <v>45124</v>
      </c>
      <c r="D28" s="116">
        <v>100</v>
      </c>
      <c r="E28" s="101">
        <f t="shared" si="3"/>
        <v>1501</v>
      </c>
      <c r="F28" s="117">
        <v>1</v>
      </c>
      <c r="G28" s="99">
        <f>+E28*F28*BE!$F$5</f>
        <v>571.6639309845142</v>
      </c>
      <c r="H28" s="100">
        <f>+E28*F28*PE!$F$5</f>
        <v>97.519969999999972</v>
      </c>
      <c r="I28" s="99">
        <f>+E28*F28*LE!$F$3</f>
        <v>28.58319654922574</v>
      </c>
      <c r="J28" s="99">
        <f t="shared" si="0"/>
        <v>445.56076443528849</v>
      </c>
    </row>
    <row r="29" spans="2:19">
      <c r="B29" s="79">
        <f t="shared" si="2"/>
        <v>45125</v>
      </c>
      <c r="C29" s="79">
        <f t="shared" si="1"/>
        <v>45155</v>
      </c>
      <c r="D29" s="116">
        <v>100</v>
      </c>
      <c r="E29" s="101">
        <f t="shared" si="3"/>
        <v>1601</v>
      </c>
      <c r="F29" s="117">
        <v>1</v>
      </c>
      <c r="G29" s="99">
        <f>+E29*F29*BE!$F$5</f>
        <v>609.74946935789956</v>
      </c>
      <c r="H29" s="100">
        <f>+E29*F29*PE!$F$5</f>
        <v>104.01696999999997</v>
      </c>
      <c r="I29" s="99">
        <f>+E29*F29*LE!$F$3</f>
        <v>30.487473467895008</v>
      </c>
      <c r="J29" s="99">
        <f t="shared" si="0"/>
        <v>475.24502589000457</v>
      </c>
    </row>
    <row r="30" spans="2:19">
      <c r="B30" s="79">
        <f t="shared" si="2"/>
        <v>45156</v>
      </c>
      <c r="C30" s="79">
        <f t="shared" si="1"/>
        <v>45186</v>
      </c>
      <c r="D30" s="116">
        <v>100</v>
      </c>
      <c r="E30" s="101">
        <f t="shared" si="3"/>
        <v>1701</v>
      </c>
      <c r="F30" s="117">
        <v>1</v>
      </c>
      <c r="G30" s="99">
        <f>+E30*F30*BE!$F$5</f>
        <v>647.83500773128492</v>
      </c>
      <c r="H30" s="100">
        <f>+E30*F30*PE!$F$5</f>
        <v>110.51396999999997</v>
      </c>
      <c r="I30" s="99">
        <f>+E30*F30*LE!$F$3</f>
        <v>32.391750386564276</v>
      </c>
      <c r="J30" s="99">
        <f t="shared" si="0"/>
        <v>504.92928734472065</v>
      </c>
    </row>
    <row r="31" spans="2:19">
      <c r="B31" s="79">
        <f t="shared" si="2"/>
        <v>45187</v>
      </c>
      <c r="C31" s="79">
        <f t="shared" si="1"/>
        <v>45216</v>
      </c>
      <c r="D31" s="116">
        <v>100</v>
      </c>
      <c r="E31" s="101">
        <f t="shared" si="3"/>
        <v>1801</v>
      </c>
      <c r="F31" s="117">
        <v>1</v>
      </c>
      <c r="G31" s="99">
        <f>+E31*F31*BE!$F$5</f>
        <v>685.92054610467028</v>
      </c>
      <c r="H31" s="100">
        <f>+E31*F31*PE!$F$5</f>
        <v>117.01096999999997</v>
      </c>
      <c r="I31" s="99">
        <f>+E31*F31*LE!$F$3</f>
        <v>34.296027305233551</v>
      </c>
      <c r="J31" s="99">
        <f t="shared" si="0"/>
        <v>534.61354879943678</v>
      </c>
    </row>
    <row r="32" spans="2:19">
      <c r="B32" s="79">
        <f t="shared" si="2"/>
        <v>45217</v>
      </c>
      <c r="C32" s="79">
        <f t="shared" si="1"/>
        <v>45247</v>
      </c>
      <c r="D32" s="116">
        <v>100</v>
      </c>
      <c r="E32" s="101">
        <f t="shared" si="3"/>
        <v>1901</v>
      </c>
      <c r="F32" s="117">
        <v>1</v>
      </c>
      <c r="G32" s="99">
        <f>+E32*F32*BE!$F$5</f>
        <v>724.00608447805564</v>
      </c>
      <c r="H32" s="100">
        <f>+E32*F32*PE!$F$5</f>
        <v>123.50796999999997</v>
      </c>
      <c r="I32" s="99">
        <f>+E32*F32*LE!$F$3</f>
        <v>36.200304223902819</v>
      </c>
      <c r="J32" s="99">
        <f t="shared" si="0"/>
        <v>564.29781025415286</v>
      </c>
    </row>
    <row r="33" spans="2:10">
      <c r="B33" s="79">
        <f t="shared" si="2"/>
        <v>45248</v>
      </c>
      <c r="C33" s="79">
        <f t="shared" si="1"/>
        <v>45277</v>
      </c>
      <c r="D33" s="116">
        <v>100</v>
      </c>
      <c r="E33" s="101">
        <f t="shared" si="3"/>
        <v>2001</v>
      </c>
      <c r="F33" s="117">
        <v>1</v>
      </c>
      <c r="G33" s="99">
        <f>+E33*F33*BE!$F$5</f>
        <v>762.091622851441</v>
      </c>
      <c r="H33" s="100">
        <f>+E33*F33*PE!$F$5</f>
        <v>130.00496999999999</v>
      </c>
      <c r="I33" s="99">
        <f>+E33*F33*LE!$F$3</f>
        <v>38.104581142572087</v>
      </c>
      <c r="J33" s="99">
        <f t="shared" si="0"/>
        <v>593.98207170886894</v>
      </c>
    </row>
    <row r="34" spans="2:10">
      <c r="B34" s="79">
        <f t="shared" si="2"/>
        <v>45278</v>
      </c>
      <c r="C34" s="79">
        <f t="shared" si="1"/>
        <v>45308</v>
      </c>
      <c r="D34" s="116">
        <v>100</v>
      </c>
      <c r="E34" s="101">
        <f t="shared" si="3"/>
        <v>2101</v>
      </c>
      <c r="F34" s="117">
        <v>1</v>
      </c>
      <c r="G34" s="99">
        <f>+E34*F34*BE!$F$5</f>
        <v>800.17716122482636</v>
      </c>
      <c r="H34" s="100">
        <f>+E34*F34*PE!$F$5</f>
        <v>136.50196999999997</v>
      </c>
      <c r="I34" s="99">
        <f>+E34*F34*LE!$F$3</f>
        <v>40.008858061241355</v>
      </c>
      <c r="J34" s="99">
        <f t="shared" si="0"/>
        <v>623.66633316358514</v>
      </c>
    </row>
    <row r="35" spans="2:10">
      <c r="B35" s="79">
        <f t="shared" si="2"/>
        <v>45309</v>
      </c>
      <c r="C35" s="79">
        <f t="shared" si="1"/>
        <v>45339</v>
      </c>
      <c r="D35" s="116">
        <v>100</v>
      </c>
      <c r="E35" s="101">
        <f t="shared" si="3"/>
        <v>2201</v>
      </c>
      <c r="F35" s="117">
        <v>1</v>
      </c>
      <c r="G35" s="99">
        <f>+E35*F35*BE!$F$5</f>
        <v>838.26269959821173</v>
      </c>
      <c r="H35" s="100">
        <f>+E35*F35*PE!$F$5</f>
        <v>142.99896999999996</v>
      </c>
      <c r="I35" s="99">
        <f>+E35*F35*LE!$F$3</f>
        <v>41.913134979910623</v>
      </c>
      <c r="J35" s="99">
        <f t="shared" si="0"/>
        <v>653.3505946183011</v>
      </c>
    </row>
    <row r="36" spans="2:10">
      <c r="B36" s="79">
        <f t="shared" si="2"/>
        <v>45340</v>
      </c>
      <c r="C36" s="79">
        <f t="shared" si="1"/>
        <v>45368</v>
      </c>
      <c r="D36" s="116">
        <v>100</v>
      </c>
      <c r="E36" s="101">
        <f t="shared" si="3"/>
        <v>2301</v>
      </c>
      <c r="F36" s="117">
        <v>1</v>
      </c>
      <c r="G36" s="99">
        <f>+E36*F36*BE!$F$5</f>
        <v>876.34823797159709</v>
      </c>
      <c r="H36" s="100">
        <f>+E36*F36*PE!$F$5</f>
        <v>149.49596999999997</v>
      </c>
      <c r="I36" s="99">
        <f>+E36*F36*LE!$F$3</f>
        <v>43.817411898579898</v>
      </c>
      <c r="J36" s="99">
        <f t="shared" si="0"/>
        <v>683.03485607301729</v>
      </c>
    </row>
    <row r="37" spans="2:10">
      <c r="B37" s="79">
        <f t="shared" si="2"/>
        <v>45369</v>
      </c>
      <c r="C37" s="79">
        <f t="shared" si="1"/>
        <v>45399</v>
      </c>
      <c r="D37" s="116">
        <v>100</v>
      </c>
      <c r="E37" s="101">
        <f t="shared" si="3"/>
        <v>2401</v>
      </c>
      <c r="F37" s="117">
        <v>1</v>
      </c>
      <c r="G37" s="99">
        <f>+E37*F37*BE!$F$5</f>
        <v>914.43377634498245</v>
      </c>
      <c r="H37" s="100">
        <f>+E37*F37*PE!$F$5</f>
        <v>155.99296999999996</v>
      </c>
      <c r="I37" s="99">
        <f>+E37*F37*LE!$F$3</f>
        <v>45.721688817249166</v>
      </c>
      <c r="J37" s="99">
        <f t="shared" si="0"/>
        <v>712.71911752773337</v>
      </c>
    </row>
    <row r="38" spans="2:10">
      <c r="B38" s="79">
        <f t="shared" si="2"/>
        <v>45400</v>
      </c>
      <c r="C38" s="79">
        <f t="shared" si="1"/>
        <v>45429</v>
      </c>
      <c r="D38" s="116">
        <v>100</v>
      </c>
      <c r="E38" s="101">
        <f t="shared" si="3"/>
        <v>2501</v>
      </c>
      <c r="F38" s="117">
        <v>1</v>
      </c>
      <c r="G38" s="99">
        <f>+E38*F38*BE!$F$5</f>
        <v>952.51931471836781</v>
      </c>
      <c r="H38" s="100">
        <f>+E38*F38*PE!$F$5</f>
        <v>162.48996999999997</v>
      </c>
      <c r="I38" s="99">
        <f>+E38*F38*LE!$F$3</f>
        <v>47.625965735918435</v>
      </c>
      <c r="J38" s="99">
        <f t="shared" si="0"/>
        <v>742.40337898244945</v>
      </c>
    </row>
    <row r="39" spans="2:10">
      <c r="B39" s="79">
        <f t="shared" si="2"/>
        <v>45430</v>
      </c>
      <c r="C39" s="79">
        <f t="shared" si="1"/>
        <v>45460</v>
      </c>
      <c r="D39" s="116">
        <v>100</v>
      </c>
      <c r="E39" s="101">
        <f t="shared" si="3"/>
        <v>2601</v>
      </c>
      <c r="F39" s="117">
        <v>1</v>
      </c>
      <c r="G39" s="99">
        <f>+E39*F39*BE!$F$5</f>
        <v>990.60485309175317</v>
      </c>
      <c r="H39" s="100">
        <f>+E39*F39*PE!$F$5</f>
        <v>168.98696999999996</v>
      </c>
      <c r="I39" s="99">
        <f>+E39*F39*LE!$F$3</f>
        <v>49.530242654587703</v>
      </c>
      <c r="J39" s="99">
        <f t="shared" si="0"/>
        <v>772.08764043716553</v>
      </c>
    </row>
    <row r="40" spans="2:10">
      <c r="B40" s="79">
        <f t="shared" si="2"/>
        <v>45461</v>
      </c>
      <c r="C40" s="79">
        <f t="shared" si="1"/>
        <v>45490</v>
      </c>
      <c r="D40" s="116">
        <v>100</v>
      </c>
      <c r="E40" s="101">
        <f t="shared" si="3"/>
        <v>2701</v>
      </c>
      <c r="F40" s="117">
        <v>1</v>
      </c>
      <c r="G40" s="99">
        <f>+E40*F40*BE!$F$5</f>
        <v>1028.6903914651384</v>
      </c>
      <c r="H40" s="100">
        <f>+E40*F40*PE!$F$5</f>
        <v>175.48396999999997</v>
      </c>
      <c r="I40" s="99">
        <f>+E40*F40*LE!$F$3</f>
        <v>51.434519573256978</v>
      </c>
      <c r="J40" s="99">
        <f t="shared" si="0"/>
        <v>801.7719018918815</v>
      </c>
    </row>
    <row r="41" spans="2:10">
      <c r="B41" s="79">
        <f t="shared" si="2"/>
        <v>45491</v>
      </c>
      <c r="C41" s="79">
        <f t="shared" si="1"/>
        <v>45521</v>
      </c>
      <c r="D41" s="116">
        <v>100</v>
      </c>
      <c r="E41" s="101">
        <f t="shared" si="3"/>
        <v>2801</v>
      </c>
      <c r="F41" s="117">
        <v>1</v>
      </c>
      <c r="G41" s="99">
        <f>+E41*F41*BE!$F$5</f>
        <v>1066.7759298385238</v>
      </c>
      <c r="H41" s="100">
        <f>+E41*F41*PE!$F$5</f>
        <v>181.98096999999996</v>
      </c>
      <c r="I41" s="99">
        <f>+E41*F41*LE!$F$3</f>
        <v>53.338796491926246</v>
      </c>
      <c r="J41" s="99">
        <f t="shared" si="0"/>
        <v>831.45616334659758</v>
      </c>
    </row>
    <row r="42" spans="2:10">
      <c r="B42" s="79">
        <f t="shared" si="2"/>
        <v>45522</v>
      </c>
      <c r="C42" s="79">
        <f t="shared" si="1"/>
        <v>45552</v>
      </c>
      <c r="D42" s="116">
        <v>100</v>
      </c>
      <c r="E42" s="101">
        <f t="shared" si="3"/>
        <v>2901</v>
      </c>
      <c r="F42" s="117">
        <v>1</v>
      </c>
      <c r="G42" s="99">
        <f>+E42*F42*BE!$F$5</f>
        <v>1104.8614682119091</v>
      </c>
      <c r="H42" s="100">
        <f>+E42*F42*PE!$F$5</f>
        <v>188.47796999999997</v>
      </c>
      <c r="I42" s="99">
        <f>+E42*F42*LE!$F$3</f>
        <v>55.243073410595514</v>
      </c>
      <c r="J42" s="99">
        <f t="shared" si="0"/>
        <v>861.14042480131366</v>
      </c>
    </row>
    <row r="43" spans="2:10">
      <c r="B43" s="79">
        <f t="shared" si="2"/>
        <v>45553</v>
      </c>
      <c r="C43" s="79">
        <f t="shared" si="1"/>
        <v>45582</v>
      </c>
      <c r="D43" s="116">
        <v>100</v>
      </c>
      <c r="E43" s="101">
        <f t="shared" si="3"/>
        <v>3001</v>
      </c>
      <c r="F43" s="117">
        <v>1</v>
      </c>
      <c r="G43" s="99">
        <f>+E43*F43*BE!$F$5</f>
        <v>1142.9470065852945</v>
      </c>
      <c r="H43" s="100">
        <f>+E43*F43*PE!$F$5</f>
        <v>194.97496999999996</v>
      </c>
      <c r="I43" s="99">
        <f>+E43*F43*LE!$F$3</f>
        <v>57.147350329264782</v>
      </c>
      <c r="J43" s="99">
        <f t="shared" si="0"/>
        <v>890.82468625602974</v>
      </c>
    </row>
    <row r="44" spans="2:10">
      <c r="B44" s="79">
        <f t="shared" si="2"/>
        <v>45583</v>
      </c>
      <c r="C44" s="79">
        <f t="shared" si="1"/>
        <v>45613</v>
      </c>
      <c r="D44" s="116">
        <v>100</v>
      </c>
      <c r="E44" s="101">
        <f t="shared" si="3"/>
        <v>3101</v>
      </c>
      <c r="F44" s="117">
        <v>1</v>
      </c>
      <c r="G44" s="99">
        <f>+E44*F44*BE!$F$5</f>
        <v>1181.0325449586799</v>
      </c>
      <c r="H44" s="100">
        <f>+E44*F44*PE!$F$5</f>
        <v>201.47196999999997</v>
      </c>
      <c r="I44" s="99">
        <f>+E44*F44*LE!$F$3</f>
        <v>59.051627247934057</v>
      </c>
      <c r="J44" s="99">
        <f t="shared" si="0"/>
        <v>920.50894771074582</v>
      </c>
    </row>
    <row r="45" spans="2:10">
      <c r="B45" s="79">
        <f t="shared" si="2"/>
        <v>45614</v>
      </c>
      <c r="C45" s="79">
        <f t="shared" si="1"/>
        <v>45643</v>
      </c>
      <c r="D45" s="116">
        <v>100</v>
      </c>
      <c r="E45" s="101">
        <f t="shared" si="3"/>
        <v>3201</v>
      </c>
      <c r="F45" s="117">
        <v>1</v>
      </c>
      <c r="G45" s="99">
        <f>+E45*F45*BE!$F$5</f>
        <v>1219.1180833320652</v>
      </c>
      <c r="H45" s="100">
        <f>+E45*F45*PE!$F$5</f>
        <v>207.96896999999996</v>
      </c>
      <c r="I45" s="99">
        <f>+E45*F45*LE!$F$3</f>
        <v>60.955904166603325</v>
      </c>
      <c r="J45" s="99">
        <f t="shared" si="0"/>
        <v>950.19320916546201</v>
      </c>
    </row>
    <row r="46" spans="2:10">
      <c r="B46" s="79">
        <f t="shared" si="2"/>
        <v>45644</v>
      </c>
      <c r="C46" s="79">
        <f t="shared" si="1"/>
        <v>45674</v>
      </c>
      <c r="D46" s="116">
        <v>100</v>
      </c>
      <c r="E46" s="101">
        <f t="shared" si="3"/>
        <v>3301</v>
      </c>
      <c r="F46" s="117">
        <v>1</v>
      </c>
      <c r="G46" s="99">
        <f>+E46*F46*BE!$F$5</f>
        <v>1257.2036217054506</v>
      </c>
      <c r="H46" s="100">
        <f>+E46*F46*PE!$F$5</f>
        <v>214.46596999999994</v>
      </c>
      <c r="I46" s="99">
        <f>+E46*F46*LE!$F$3</f>
        <v>62.860181085272593</v>
      </c>
      <c r="J46" s="99">
        <f t="shared" si="0"/>
        <v>979.87747062017797</v>
      </c>
    </row>
    <row r="47" spans="2:10">
      <c r="B47" s="79">
        <f t="shared" si="2"/>
        <v>45675</v>
      </c>
      <c r="C47" s="79">
        <f t="shared" si="1"/>
        <v>45705</v>
      </c>
      <c r="D47" s="116">
        <v>100</v>
      </c>
      <c r="E47" s="101">
        <f t="shared" si="3"/>
        <v>3401</v>
      </c>
      <c r="F47" s="117">
        <v>1</v>
      </c>
      <c r="G47" s="99">
        <f>+E47*F47*BE!$F$5</f>
        <v>1295.2891600788359</v>
      </c>
      <c r="H47" s="100">
        <f>+E47*F47*PE!$F$5</f>
        <v>220.96296999999996</v>
      </c>
      <c r="I47" s="99">
        <f>+E47*F47*LE!$F$3</f>
        <v>64.764458003941868</v>
      </c>
      <c r="J47" s="99">
        <f t="shared" si="0"/>
        <v>1009.5617320748941</v>
      </c>
    </row>
    <row r="48" spans="2:10">
      <c r="B48" s="79">
        <f t="shared" si="2"/>
        <v>45706</v>
      </c>
      <c r="C48" s="79">
        <f t="shared" si="1"/>
        <v>45733</v>
      </c>
      <c r="D48" s="116">
        <v>100</v>
      </c>
      <c r="E48" s="101">
        <f t="shared" si="3"/>
        <v>3501</v>
      </c>
      <c r="F48" s="117">
        <v>1</v>
      </c>
      <c r="G48" s="99">
        <f>+E48*F48*BE!$F$5</f>
        <v>1333.3746984522213</v>
      </c>
      <c r="H48" s="100">
        <f>+E48*F48*PE!$F$5</f>
        <v>227.45996999999994</v>
      </c>
      <c r="I48" s="99">
        <f>+E48*F48*LE!$F$3</f>
        <v>66.668734922611137</v>
      </c>
      <c r="J48" s="99">
        <f t="shared" si="0"/>
        <v>1039.2459935296104</v>
      </c>
    </row>
    <row r="49" spans="2:10">
      <c r="B49" s="79">
        <f t="shared" si="2"/>
        <v>45734</v>
      </c>
      <c r="C49" s="79">
        <f t="shared" si="1"/>
        <v>45764</v>
      </c>
      <c r="D49" s="116">
        <v>100</v>
      </c>
      <c r="E49" s="101">
        <f t="shared" si="3"/>
        <v>3601</v>
      </c>
      <c r="F49" s="117">
        <v>1</v>
      </c>
      <c r="G49" s="99">
        <f>+E49*F49*BE!$F$5</f>
        <v>1371.4602368256067</v>
      </c>
      <c r="H49" s="100">
        <f>+E49*F49*PE!$F$5</f>
        <v>233.95696999999996</v>
      </c>
      <c r="I49" s="99">
        <f>+E49*F49*LE!$F$3</f>
        <v>68.573011841280405</v>
      </c>
      <c r="J49" s="99">
        <f t="shared" si="0"/>
        <v>1068.9302549843262</v>
      </c>
    </row>
    <row r="50" spans="2:10">
      <c r="B50" s="79">
        <f t="shared" si="2"/>
        <v>45765</v>
      </c>
      <c r="C50" s="79">
        <f t="shared" si="1"/>
        <v>45794</v>
      </c>
      <c r="D50" s="116">
        <v>100</v>
      </c>
      <c r="E50" s="101">
        <f t="shared" si="3"/>
        <v>3701</v>
      </c>
      <c r="F50" s="117">
        <v>1</v>
      </c>
      <c r="G50" s="99">
        <f>+E50*F50*BE!$F$5</f>
        <v>1409.545775198992</v>
      </c>
      <c r="H50" s="100">
        <f>+E50*F50*PE!$F$5</f>
        <v>240.45396999999994</v>
      </c>
      <c r="I50" s="99">
        <f>+E50*F50*LE!$F$3</f>
        <v>70.477288759949673</v>
      </c>
      <c r="J50" s="99">
        <f t="shared" si="0"/>
        <v>1098.6145164390423</v>
      </c>
    </row>
    <row r="51" spans="2:10">
      <c r="B51" s="79">
        <f t="shared" si="2"/>
        <v>45795</v>
      </c>
      <c r="C51" s="79">
        <f t="shared" si="1"/>
        <v>45825</v>
      </c>
      <c r="D51" s="116">
        <v>100</v>
      </c>
      <c r="E51" s="101">
        <f t="shared" si="3"/>
        <v>3801</v>
      </c>
      <c r="F51" s="117">
        <v>1</v>
      </c>
      <c r="G51" s="99">
        <f>+E51*F51*BE!$F$5</f>
        <v>1447.6313135723774</v>
      </c>
      <c r="H51" s="100">
        <f>+E51*F51*PE!$F$5</f>
        <v>246.95096999999996</v>
      </c>
      <c r="I51" s="99">
        <f>+E51*F51*LE!$F$3</f>
        <v>72.381565678618941</v>
      </c>
      <c r="J51" s="99">
        <f t="shared" si="0"/>
        <v>1128.2987778937586</v>
      </c>
    </row>
    <row r="52" spans="2:10">
      <c r="B52" s="79">
        <f t="shared" si="2"/>
        <v>45826</v>
      </c>
      <c r="C52" s="79">
        <f t="shared" si="1"/>
        <v>45855</v>
      </c>
      <c r="D52" s="116">
        <v>100</v>
      </c>
      <c r="E52" s="101">
        <f t="shared" si="3"/>
        <v>3901</v>
      </c>
      <c r="F52" s="117">
        <v>1</v>
      </c>
      <c r="G52" s="99">
        <f>+E52*F52*BE!$F$5</f>
        <v>1485.7168519457628</v>
      </c>
      <c r="H52" s="100">
        <f>+E52*F52*PE!$F$5</f>
        <v>253.44796999999994</v>
      </c>
      <c r="I52" s="99">
        <f>+E52*F52*LE!$F$3</f>
        <v>74.285842597288209</v>
      </c>
      <c r="J52" s="99">
        <f t="shared" si="0"/>
        <v>1157.9830393484747</v>
      </c>
    </row>
    <row r="53" spans="2:10">
      <c r="B53" s="79">
        <f t="shared" si="2"/>
        <v>45856</v>
      </c>
      <c r="C53" s="79">
        <f t="shared" si="1"/>
        <v>45886</v>
      </c>
      <c r="D53" s="116">
        <v>100</v>
      </c>
      <c r="E53" s="101">
        <f t="shared" si="3"/>
        <v>4001</v>
      </c>
      <c r="F53" s="117">
        <v>1</v>
      </c>
      <c r="G53" s="99">
        <f>+E53*F53*BE!$F$5</f>
        <v>1523.8023903191481</v>
      </c>
      <c r="H53" s="100">
        <f>+E53*F53*PE!$F$5</f>
        <v>259.94496999999996</v>
      </c>
      <c r="I53" s="99">
        <f>+E53*F53*LE!$F$3</f>
        <v>76.190119515957477</v>
      </c>
      <c r="J53" s="99">
        <f t="shared" si="0"/>
        <v>1187.6673008031905</v>
      </c>
    </row>
    <row r="54" spans="2:10">
      <c r="B54" s="79">
        <f t="shared" si="2"/>
        <v>45887</v>
      </c>
      <c r="C54" s="79">
        <f t="shared" si="1"/>
        <v>45917</v>
      </c>
      <c r="D54" s="116">
        <v>100</v>
      </c>
      <c r="E54" s="101">
        <f t="shared" si="3"/>
        <v>4101</v>
      </c>
      <c r="F54" s="117">
        <v>1</v>
      </c>
      <c r="G54" s="99">
        <f>+E54*F54*BE!$F$5</f>
        <v>1561.8879286925335</v>
      </c>
      <c r="H54" s="100">
        <f>+E54*F54*PE!$F$5</f>
        <v>266.44196999999997</v>
      </c>
      <c r="I54" s="99">
        <f>+E54*F54*LE!$F$3</f>
        <v>78.094396434626745</v>
      </c>
      <c r="J54" s="99">
        <f t="shared" si="0"/>
        <v>1217.3515622579068</v>
      </c>
    </row>
    <row r="55" spans="2:10">
      <c r="B55" s="79">
        <f t="shared" si="2"/>
        <v>45918</v>
      </c>
      <c r="C55" s="79">
        <f t="shared" si="1"/>
        <v>45947</v>
      </c>
      <c r="D55" s="116">
        <v>100</v>
      </c>
      <c r="E55" s="101">
        <f t="shared" ref="E55:E110" si="4">D54+E54</f>
        <v>4201</v>
      </c>
      <c r="F55" s="117">
        <v>1</v>
      </c>
      <c r="G55" s="99">
        <f>+E55*F55*BE!$F$5</f>
        <v>1599.9734670659188</v>
      </c>
      <c r="H55" s="100">
        <f>+E55*F55*PE!$F$5</f>
        <v>272.93896999999993</v>
      </c>
      <c r="I55" s="99">
        <f>+E55*F55*LE!$F$3</f>
        <v>79.998673353296027</v>
      </c>
      <c r="J55" s="99">
        <f t="shared" ref="J55:J110" si="5">+G55-H55-I55</f>
        <v>1247.0358237126229</v>
      </c>
    </row>
    <row r="56" spans="2:10">
      <c r="B56" s="79">
        <f t="shared" si="2"/>
        <v>45948</v>
      </c>
      <c r="C56" s="79">
        <f t="shared" si="1"/>
        <v>45978</v>
      </c>
      <c r="D56" s="116">
        <v>100</v>
      </c>
      <c r="E56" s="101">
        <f t="shared" si="4"/>
        <v>4301</v>
      </c>
      <c r="F56" s="117">
        <v>1</v>
      </c>
      <c r="G56" s="99">
        <f>+E56*F56*BE!$F$5</f>
        <v>1638.0590054393042</v>
      </c>
      <c r="H56" s="100">
        <f>+E56*F56*PE!$F$5</f>
        <v>279.43596999999994</v>
      </c>
      <c r="I56" s="99">
        <f>+E56*F56*LE!$F$3</f>
        <v>81.902950271965295</v>
      </c>
      <c r="J56" s="99">
        <f t="shared" si="5"/>
        <v>1276.720085167339</v>
      </c>
    </row>
    <row r="57" spans="2:10">
      <c r="B57" s="79">
        <f t="shared" si="2"/>
        <v>45979</v>
      </c>
      <c r="C57" s="79">
        <f t="shared" si="1"/>
        <v>46008</v>
      </c>
      <c r="D57" s="116">
        <v>100</v>
      </c>
      <c r="E57" s="101">
        <f t="shared" si="4"/>
        <v>4401</v>
      </c>
      <c r="F57" s="117">
        <v>1</v>
      </c>
      <c r="G57" s="99">
        <f>+E57*F57*BE!$F$5</f>
        <v>1676.1445438126896</v>
      </c>
      <c r="H57" s="100">
        <f>+E57*F57*PE!$F$5</f>
        <v>285.93296999999995</v>
      </c>
      <c r="I57" s="99">
        <f>+E57*F57*LE!$F$3</f>
        <v>83.807227190634563</v>
      </c>
      <c r="J57" s="99">
        <f t="shared" si="5"/>
        <v>1306.4043466220548</v>
      </c>
    </row>
    <row r="58" spans="2:10">
      <c r="B58" s="79">
        <f t="shared" si="2"/>
        <v>46009</v>
      </c>
      <c r="C58" s="79">
        <f t="shared" si="1"/>
        <v>46039</v>
      </c>
      <c r="D58" s="116">
        <v>100</v>
      </c>
      <c r="E58" s="101">
        <f t="shared" si="4"/>
        <v>4501</v>
      </c>
      <c r="F58" s="117">
        <v>1</v>
      </c>
      <c r="G58" s="99">
        <f>+E58*F58*BE!$F$5</f>
        <v>1714.2300821860749</v>
      </c>
      <c r="H58" s="100">
        <f>+E58*F58*PE!$F$5</f>
        <v>292.42996999999991</v>
      </c>
      <c r="I58" s="99">
        <f>+E58*F58*LE!$F$3</f>
        <v>85.711504109303831</v>
      </c>
      <c r="J58" s="99">
        <f t="shared" si="5"/>
        <v>1336.0886080767712</v>
      </c>
    </row>
    <row r="59" spans="2:10">
      <c r="B59" s="79">
        <f t="shared" si="2"/>
        <v>46040</v>
      </c>
      <c r="C59" s="79">
        <f t="shared" si="1"/>
        <v>46070</v>
      </c>
      <c r="D59" s="116">
        <v>100</v>
      </c>
      <c r="E59" s="101">
        <f t="shared" si="4"/>
        <v>4601</v>
      </c>
      <c r="F59" s="117">
        <v>1</v>
      </c>
      <c r="G59" s="99">
        <f>+E59*F59*BE!$F$5</f>
        <v>1752.3156205594603</v>
      </c>
      <c r="H59" s="100">
        <f>+E59*F59*PE!$F$5</f>
        <v>298.92696999999993</v>
      </c>
      <c r="I59" s="99">
        <f>+E59*F59*LE!$F$3</f>
        <v>87.6157810279731</v>
      </c>
      <c r="J59" s="99">
        <f t="shared" si="5"/>
        <v>1365.7728695314872</v>
      </c>
    </row>
    <row r="60" spans="2:10">
      <c r="B60" s="79">
        <f t="shared" si="2"/>
        <v>46071</v>
      </c>
      <c r="C60" s="79">
        <f t="shared" si="1"/>
        <v>46098</v>
      </c>
      <c r="D60" s="116">
        <v>100</v>
      </c>
      <c r="E60" s="101">
        <f t="shared" si="4"/>
        <v>4701</v>
      </c>
      <c r="F60" s="117">
        <v>1</v>
      </c>
      <c r="G60" s="99">
        <f>+E60*F60*BE!$F$5</f>
        <v>1790.4011589328456</v>
      </c>
      <c r="H60" s="100">
        <f>+E60*F60*PE!$F$5</f>
        <v>305.42396999999994</v>
      </c>
      <c r="I60" s="99">
        <f>+E60*F60*LE!$F$3</f>
        <v>89.520057946642368</v>
      </c>
      <c r="J60" s="99">
        <f t="shared" si="5"/>
        <v>1395.4571309862035</v>
      </c>
    </row>
    <row r="61" spans="2:10">
      <c r="B61" s="79">
        <f t="shared" si="2"/>
        <v>46099</v>
      </c>
      <c r="C61" s="79">
        <f t="shared" si="1"/>
        <v>46129</v>
      </c>
      <c r="D61" s="116">
        <v>100</v>
      </c>
      <c r="E61" s="101">
        <f t="shared" si="4"/>
        <v>4801</v>
      </c>
      <c r="F61" s="117">
        <v>1</v>
      </c>
      <c r="G61" s="99">
        <f>+E61*F61*BE!$F$5</f>
        <v>1828.486697306231</v>
      </c>
      <c r="H61" s="100">
        <f>+E61*F61*PE!$F$5</f>
        <v>311.92096999999995</v>
      </c>
      <c r="I61" s="99">
        <f>+E61*F61*LE!$F$3</f>
        <v>91.424334865311636</v>
      </c>
      <c r="J61" s="99">
        <f t="shared" si="5"/>
        <v>1425.1413924409194</v>
      </c>
    </row>
    <row r="62" spans="2:10">
      <c r="B62" s="79">
        <f t="shared" si="2"/>
        <v>46130</v>
      </c>
      <c r="C62" s="79">
        <f t="shared" si="1"/>
        <v>46159</v>
      </c>
      <c r="D62" s="116">
        <v>100</v>
      </c>
      <c r="E62" s="101">
        <f t="shared" si="4"/>
        <v>4901</v>
      </c>
      <c r="F62" s="117">
        <v>1</v>
      </c>
      <c r="G62" s="99">
        <f>+E62*F62*BE!$F$5</f>
        <v>1866.5722356796164</v>
      </c>
      <c r="H62" s="100">
        <f>+E62*F62*PE!$F$5</f>
        <v>318.41796999999991</v>
      </c>
      <c r="I62" s="99">
        <f>+E62*F62*LE!$F$3</f>
        <v>93.328611783980904</v>
      </c>
      <c r="J62" s="99">
        <f t="shared" si="5"/>
        <v>1454.8256538956355</v>
      </c>
    </row>
    <row r="63" spans="2:10">
      <c r="B63" s="79">
        <f t="shared" si="2"/>
        <v>46160</v>
      </c>
      <c r="C63" s="79">
        <f t="shared" si="1"/>
        <v>46190</v>
      </c>
      <c r="D63" s="116">
        <v>100</v>
      </c>
      <c r="E63" s="101">
        <f t="shared" si="4"/>
        <v>5001</v>
      </c>
      <c r="F63" s="117">
        <v>1</v>
      </c>
      <c r="G63" s="99">
        <f>+E63*F63*BE!$F$5</f>
        <v>1904.6577740530017</v>
      </c>
      <c r="H63" s="100">
        <f>+E63*F63*PE!$F$5</f>
        <v>324.91496999999993</v>
      </c>
      <c r="I63" s="99">
        <f>+E63*F63*LE!$F$3</f>
        <v>95.232888702650172</v>
      </c>
      <c r="J63" s="99">
        <f t="shared" si="5"/>
        <v>1484.5099153503515</v>
      </c>
    </row>
    <row r="64" spans="2:10">
      <c r="B64" s="79">
        <f t="shared" si="2"/>
        <v>46191</v>
      </c>
      <c r="C64" s="79">
        <f t="shared" si="1"/>
        <v>46220</v>
      </c>
      <c r="D64" s="116">
        <v>100</v>
      </c>
      <c r="E64" s="101">
        <f t="shared" si="4"/>
        <v>5101</v>
      </c>
      <c r="F64" s="117">
        <v>1</v>
      </c>
      <c r="G64" s="99">
        <f>+E64*F64*BE!$F$5</f>
        <v>1942.7433124263871</v>
      </c>
      <c r="H64" s="100">
        <f>+E64*F64*PE!$F$5</f>
        <v>331.41196999999994</v>
      </c>
      <c r="I64" s="99">
        <f>+E64*F64*LE!$F$3</f>
        <v>97.137165621319454</v>
      </c>
      <c r="J64" s="99">
        <f t="shared" si="5"/>
        <v>1514.1941768050679</v>
      </c>
    </row>
    <row r="65" spans="2:10">
      <c r="B65" s="79">
        <f t="shared" si="2"/>
        <v>46221</v>
      </c>
      <c r="C65" s="79">
        <f t="shared" si="1"/>
        <v>46251</v>
      </c>
      <c r="D65" s="116">
        <v>100</v>
      </c>
      <c r="E65" s="101">
        <f t="shared" si="4"/>
        <v>5201</v>
      </c>
      <c r="F65" s="117">
        <v>1</v>
      </c>
      <c r="G65" s="99">
        <f>+E65*F65*BE!$F$5</f>
        <v>1980.8288507997725</v>
      </c>
      <c r="H65" s="100">
        <f>+E65*F65*PE!$F$5</f>
        <v>337.90896999999995</v>
      </c>
      <c r="I65" s="99">
        <f>+E65*F65*LE!$F$3</f>
        <v>99.041442539988722</v>
      </c>
      <c r="J65" s="99">
        <f t="shared" si="5"/>
        <v>1543.8784382597837</v>
      </c>
    </row>
    <row r="66" spans="2:10">
      <c r="B66" s="79">
        <f t="shared" si="2"/>
        <v>46252</v>
      </c>
      <c r="C66" s="79">
        <f t="shared" si="1"/>
        <v>46282</v>
      </c>
      <c r="D66" s="116">
        <v>100</v>
      </c>
      <c r="E66" s="101">
        <f t="shared" si="4"/>
        <v>5301</v>
      </c>
      <c r="F66" s="117">
        <v>1</v>
      </c>
      <c r="G66" s="99">
        <f>+E66*F66*BE!$F$5</f>
        <v>2018.9143891731578</v>
      </c>
      <c r="H66" s="100">
        <f>+E66*F66*PE!$F$5</f>
        <v>344.40596999999991</v>
      </c>
      <c r="I66" s="99">
        <f>+E66*F66*LE!$F$3</f>
        <v>100.94571945865799</v>
      </c>
      <c r="J66" s="99">
        <f t="shared" si="5"/>
        <v>1573.5626997145</v>
      </c>
    </row>
    <row r="67" spans="2:10">
      <c r="B67" s="79">
        <f t="shared" si="2"/>
        <v>46283</v>
      </c>
      <c r="C67" s="79">
        <f t="shared" si="1"/>
        <v>46312</v>
      </c>
      <c r="D67" s="116">
        <v>100</v>
      </c>
      <c r="E67" s="101">
        <f t="shared" si="4"/>
        <v>5401</v>
      </c>
      <c r="F67" s="117">
        <v>1</v>
      </c>
      <c r="G67" s="99">
        <f>+E67*F67*BE!$F$5</f>
        <v>2056.9999275465434</v>
      </c>
      <c r="H67" s="100">
        <f>+E67*F67*PE!$F$5</f>
        <v>350.90296999999993</v>
      </c>
      <c r="I67" s="99">
        <f>+E67*F67*LE!$F$3</f>
        <v>102.84999637732726</v>
      </c>
      <c r="J67" s="99">
        <f t="shared" si="5"/>
        <v>1603.2469611692163</v>
      </c>
    </row>
    <row r="68" spans="2:10">
      <c r="B68" s="79">
        <f t="shared" si="2"/>
        <v>46313</v>
      </c>
      <c r="C68" s="79">
        <f t="shared" si="1"/>
        <v>46343</v>
      </c>
      <c r="D68" s="116">
        <v>100</v>
      </c>
      <c r="E68" s="101">
        <f t="shared" si="4"/>
        <v>5501</v>
      </c>
      <c r="F68" s="117">
        <v>1</v>
      </c>
      <c r="G68" s="99">
        <f>+E68*F68*BE!$F$5</f>
        <v>2095.0854659199285</v>
      </c>
      <c r="H68" s="100">
        <f>+E68*F68*PE!$F$5</f>
        <v>357.39996999999994</v>
      </c>
      <c r="I68" s="99">
        <f>+E68*F68*LE!$F$3</f>
        <v>104.75427329599653</v>
      </c>
      <c r="J68" s="99">
        <f t="shared" si="5"/>
        <v>1632.9312226239322</v>
      </c>
    </row>
    <row r="69" spans="2:10">
      <c r="B69" s="79">
        <f t="shared" si="2"/>
        <v>46344</v>
      </c>
      <c r="C69" s="79">
        <f t="shared" si="1"/>
        <v>46373</v>
      </c>
      <c r="D69" s="116">
        <v>100</v>
      </c>
      <c r="E69" s="101">
        <f t="shared" si="4"/>
        <v>5601</v>
      </c>
      <c r="F69" s="117">
        <v>1</v>
      </c>
      <c r="G69" s="99">
        <f>+E69*F69*BE!$F$5</f>
        <v>2133.1710042933141</v>
      </c>
      <c r="H69" s="100">
        <f>+E69*F69*PE!$F$5</f>
        <v>363.8969699999999</v>
      </c>
      <c r="I69" s="99">
        <f>+E69*F69*LE!$F$3</f>
        <v>106.65855021466579</v>
      </c>
      <c r="J69" s="99">
        <f t="shared" si="5"/>
        <v>1662.6154840786485</v>
      </c>
    </row>
    <row r="70" spans="2:10">
      <c r="B70" s="79">
        <f t="shared" si="2"/>
        <v>46374</v>
      </c>
      <c r="C70" s="79">
        <f t="shared" si="1"/>
        <v>46404</v>
      </c>
      <c r="D70" s="116">
        <v>100</v>
      </c>
      <c r="E70" s="101">
        <f t="shared" si="4"/>
        <v>5701</v>
      </c>
      <c r="F70" s="117">
        <v>1</v>
      </c>
      <c r="G70" s="99">
        <f>+E70*F70*BE!$F$5</f>
        <v>2171.2565426666993</v>
      </c>
      <c r="H70" s="100">
        <f>+E70*F70*PE!$F$5</f>
        <v>370.39396999999991</v>
      </c>
      <c r="I70" s="99">
        <f>+E70*F70*LE!$F$3</f>
        <v>108.56282713333506</v>
      </c>
      <c r="J70" s="99">
        <f t="shared" si="5"/>
        <v>1692.2997455333643</v>
      </c>
    </row>
    <row r="71" spans="2:10">
      <c r="B71" s="79">
        <f t="shared" si="2"/>
        <v>46405</v>
      </c>
      <c r="C71" s="79">
        <f t="shared" si="1"/>
        <v>46435</v>
      </c>
      <c r="D71" s="116">
        <v>100</v>
      </c>
      <c r="E71" s="101">
        <f t="shared" si="4"/>
        <v>5801</v>
      </c>
      <c r="F71" s="117">
        <v>1</v>
      </c>
      <c r="G71" s="99">
        <f>+E71*F71*BE!$F$5</f>
        <v>2209.3420810400848</v>
      </c>
      <c r="H71" s="100">
        <f>+E71*F71*PE!$F$5</f>
        <v>376.89096999999992</v>
      </c>
      <c r="I71" s="99">
        <f>+E71*F71*LE!$F$3</f>
        <v>110.46710405200433</v>
      </c>
      <c r="J71" s="99">
        <f t="shared" si="5"/>
        <v>1721.9840069880806</v>
      </c>
    </row>
    <row r="72" spans="2:10">
      <c r="B72" s="79">
        <f t="shared" si="2"/>
        <v>46436</v>
      </c>
      <c r="C72" s="79">
        <f t="shared" si="1"/>
        <v>46463</v>
      </c>
      <c r="D72" s="116">
        <v>100</v>
      </c>
      <c r="E72" s="101">
        <f t="shared" si="4"/>
        <v>5901</v>
      </c>
      <c r="F72" s="117">
        <v>1</v>
      </c>
      <c r="G72" s="99">
        <f>+E72*F72*BE!$F$5</f>
        <v>2247.42761941347</v>
      </c>
      <c r="H72" s="100">
        <f>+E72*F72*PE!$F$5</f>
        <v>383.38796999999994</v>
      </c>
      <c r="I72" s="99">
        <f>+E72*F72*LE!$F$3</f>
        <v>112.3713809706736</v>
      </c>
      <c r="J72" s="99">
        <f t="shared" si="5"/>
        <v>1751.6682684427965</v>
      </c>
    </row>
    <row r="73" spans="2:10">
      <c r="B73" s="79">
        <f t="shared" si="2"/>
        <v>46464</v>
      </c>
      <c r="C73" s="79">
        <f t="shared" si="1"/>
        <v>46494</v>
      </c>
      <c r="D73" s="116">
        <v>100</v>
      </c>
      <c r="E73" s="101">
        <f t="shared" si="4"/>
        <v>6001</v>
      </c>
      <c r="F73" s="117">
        <v>1</v>
      </c>
      <c r="G73" s="99">
        <f>+E73*F73*BE!$F$5</f>
        <v>2285.5131577868551</v>
      </c>
      <c r="H73" s="100">
        <f>+E73*F73*PE!$F$5</f>
        <v>389.8849699999999</v>
      </c>
      <c r="I73" s="99">
        <f>+E73*F73*LE!$F$3</f>
        <v>114.27565788934288</v>
      </c>
      <c r="J73" s="99">
        <f t="shared" si="5"/>
        <v>1781.3525298975123</v>
      </c>
    </row>
    <row r="74" spans="2:10">
      <c r="B74" s="79">
        <f t="shared" si="2"/>
        <v>46495</v>
      </c>
      <c r="C74" s="79">
        <f t="shared" si="1"/>
        <v>46524</v>
      </c>
      <c r="D74" s="116">
        <v>100</v>
      </c>
      <c r="E74" s="101">
        <f t="shared" si="4"/>
        <v>6101</v>
      </c>
      <c r="F74" s="117">
        <v>1</v>
      </c>
      <c r="G74" s="99">
        <f>+E74*F74*BE!$F$5</f>
        <v>2323.5986961602407</v>
      </c>
      <c r="H74" s="100">
        <f>+E74*F74*PE!$F$5</f>
        <v>396.38196999999991</v>
      </c>
      <c r="I74" s="99">
        <f>+E74*F74*LE!$F$3</f>
        <v>116.17993480801215</v>
      </c>
      <c r="J74" s="99">
        <f t="shared" si="5"/>
        <v>1811.0367913522286</v>
      </c>
    </row>
    <row r="75" spans="2:10">
      <c r="B75" s="79">
        <f t="shared" si="2"/>
        <v>46525</v>
      </c>
      <c r="C75" s="79">
        <f t="shared" ref="C75:C110" si="6">DATE(YEAR(B75),MONTH(B75)+1,DAY(B75)-1)</f>
        <v>46555</v>
      </c>
      <c r="D75" s="116">
        <v>100</v>
      </c>
      <c r="E75" s="101">
        <f t="shared" si="4"/>
        <v>6201</v>
      </c>
      <c r="F75" s="117">
        <v>1</v>
      </c>
      <c r="G75" s="99">
        <f>+E75*F75*BE!$F$5</f>
        <v>2361.6842345336258</v>
      </c>
      <c r="H75" s="100">
        <f>+E75*F75*PE!$F$5</f>
        <v>402.87896999999992</v>
      </c>
      <c r="I75" s="99">
        <f>+E75*F75*LE!$F$3</f>
        <v>118.08421172668142</v>
      </c>
      <c r="J75" s="99">
        <f t="shared" si="5"/>
        <v>1840.7210528069445</v>
      </c>
    </row>
    <row r="76" spans="2:10">
      <c r="B76" s="79">
        <f t="shared" ref="B76:B111" si="7">+C75+1</f>
        <v>46556</v>
      </c>
      <c r="C76" s="79">
        <f t="shared" si="6"/>
        <v>46585</v>
      </c>
      <c r="D76" s="116">
        <v>100</v>
      </c>
      <c r="E76" s="101">
        <f t="shared" si="4"/>
        <v>6301</v>
      </c>
      <c r="F76" s="117">
        <v>1</v>
      </c>
      <c r="G76" s="99">
        <f>+E76*F76*BE!$F$5</f>
        <v>2399.7697729070114</v>
      </c>
      <c r="H76" s="100">
        <f>+E76*F76*PE!$F$5</f>
        <v>409.37596999999994</v>
      </c>
      <c r="I76" s="99">
        <f>+E76*F76*LE!$F$3</f>
        <v>119.98848864535069</v>
      </c>
      <c r="J76" s="99">
        <f t="shared" si="5"/>
        <v>1870.4053142616608</v>
      </c>
    </row>
    <row r="77" spans="2:10">
      <c r="B77" s="79">
        <f t="shared" si="7"/>
        <v>46586</v>
      </c>
      <c r="C77" s="79">
        <f t="shared" si="6"/>
        <v>46616</v>
      </c>
      <c r="D77" s="116">
        <v>100</v>
      </c>
      <c r="E77" s="101">
        <f t="shared" si="4"/>
        <v>6401</v>
      </c>
      <c r="F77" s="117">
        <v>1</v>
      </c>
      <c r="G77" s="99">
        <f>+E77*F77*BE!$F$5</f>
        <v>2437.8553112803966</v>
      </c>
      <c r="H77" s="100">
        <f>+E77*F77*PE!$F$5</f>
        <v>415.8729699999999</v>
      </c>
      <c r="I77" s="99">
        <f>+E77*F77*LE!$F$3</f>
        <v>121.89276556401995</v>
      </c>
      <c r="J77" s="99">
        <f t="shared" si="5"/>
        <v>1900.0895757163767</v>
      </c>
    </row>
    <row r="78" spans="2:10">
      <c r="B78" s="79">
        <f t="shared" si="7"/>
        <v>46617</v>
      </c>
      <c r="C78" s="79">
        <f t="shared" si="6"/>
        <v>46647</v>
      </c>
      <c r="D78" s="116">
        <v>100</v>
      </c>
      <c r="E78" s="101">
        <f t="shared" si="4"/>
        <v>6501</v>
      </c>
      <c r="F78" s="117">
        <v>1</v>
      </c>
      <c r="G78" s="99">
        <f>+E78*F78*BE!$F$5</f>
        <v>2475.9408496537822</v>
      </c>
      <c r="H78" s="100">
        <f>+E78*F78*PE!$F$5</f>
        <v>422.36996999999991</v>
      </c>
      <c r="I78" s="99">
        <f>+E78*F78*LE!$F$3</f>
        <v>123.79704248268922</v>
      </c>
      <c r="J78" s="99">
        <f t="shared" si="5"/>
        <v>1929.7738371710932</v>
      </c>
    </row>
    <row r="79" spans="2:10">
      <c r="B79" s="79">
        <f t="shared" si="7"/>
        <v>46648</v>
      </c>
      <c r="C79" s="79">
        <f t="shared" si="6"/>
        <v>46677</v>
      </c>
      <c r="D79" s="116">
        <v>100</v>
      </c>
      <c r="E79" s="101">
        <f t="shared" si="4"/>
        <v>6601</v>
      </c>
      <c r="F79" s="117">
        <v>1</v>
      </c>
      <c r="G79" s="99">
        <f>+E79*F79*BE!$F$5</f>
        <v>2514.0263880271673</v>
      </c>
      <c r="H79" s="100">
        <f>+E79*F79*PE!$F$5</f>
        <v>428.86696999999992</v>
      </c>
      <c r="I79" s="99">
        <f>+E79*F79*LE!$F$3</f>
        <v>125.70131940135849</v>
      </c>
      <c r="J79" s="99">
        <f t="shared" si="5"/>
        <v>1959.4580986258088</v>
      </c>
    </row>
    <row r="80" spans="2:10">
      <c r="B80" s="79">
        <f t="shared" si="7"/>
        <v>46678</v>
      </c>
      <c r="C80" s="79">
        <f t="shared" si="6"/>
        <v>46708</v>
      </c>
      <c r="D80" s="116">
        <v>100</v>
      </c>
      <c r="E80" s="101">
        <f t="shared" si="4"/>
        <v>6701</v>
      </c>
      <c r="F80" s="117">
        <v>1</v>
      </c>
      <c r="G80" s="99">
        <f>+E80*F80*BE!$F$5</f>
        <v>2552.1119264005529</v>
      </c>
      <c r="H80" s="100">
        <f>+E80*F80*PE!$F$5</f>
        <v>435.36396999999988</v>
      </c>
      <c r="I80" s="99">
        <f>+E80*F80*LE!$F$3</f>
        <v>127.60559632002776</v>
      </c>
      <c r="J80" s="99">
        <f t="shared" si="5"/>
        <v>1989.1423600805251</v>
      </c>
    </row>
    <row r="81" spans="2:10">
      <c r="B81" s="79">
        <f t="shared" si="7"/>
        <v>46709</v>
      </c>
      <c r="C81" s="79">
        <f t="shared" si="6"/>
        <v>46738</v>
      </c>
      <c r="D81" s="116">
        <v>100</v>
      </c>
      <c r="E81" s="101">
        <f t="shared" si="4"/>
        <v>6801</v>
      </c>
      <c r="F81" s="117">
        <v>1</v>
      </c>
      <c r="G81" s="99">
        <f>+E81*F81*BE!$F$5</f>
        <v>2590.197464773938</v>
      </c>
      <c r="H81" s="100">
        <f>+E81*F81*PE!$F$5</f>
        <v>441.8609699999999</v>
      </c>
      <c r="I81" s="99">
        <f>+E81*F81*LE!$F$3</f>
        <v>129.50987323869703</v>
      </c>
      <c r="J81" s="99">
        <f t="shared" si="5"/>
        <v>2018.8266215352412</v>
      </c>
    </row>
    <row r="82" spans="2:10">
      <c r="B82" s="79">
        <f t="shared" si="7"/>
        <v>46739</v>
      </c>
      <c r="C82" s="79">
        <f t="shared" si="6"/>
        <v>46769</v>
      </c>
      <c r="D82" s="116">
        <v>100</v>
      </c>
      <c r="E82" s="101">
        <f t="shared" si="4"/>
        <v>6901</v>
      </c>
      <c r="F82" s="117">
        <v>1</v>
      </c>
      <c r="G82" s="99">
        <f>+E82*F82*BE!$F$5</f>
        <v>2628.2830031473236</v>
      </c>
      <c r="H82" s="100">
        <f>+E82*F82*PE!$F$5</f>
        <v>448.35796999999991</v>
      </c>
      <c r="I82" s="99">
        <f>+E82*F82*LE!$F$3</f>
        <v>131.41415015736629</v>
      </c>
      <c r="J82" s="99">
        <f t="shared" si="5"/>
        <v>2048.5108829899573</v>
      </c>
    </row>
    <row r="83" spans="2:10">
      <c r="B83" s="79">
        <f t="shared" si="7"/>
        <v>46770</v>
      </c>
      <c r="C83" s="79">
        <f t="shared" si="6"/>
        <v>46800</v>
      </c>
      <c r="D83" s="116">
        <v>100</v>
      </c>
      <c r="E83" s="101">
        <f t="shared" si="4"/>
        <v>7001</v>
      </c>
      <c r="F83" s="117">
        <v>1</v>
      </c>
      <c r="G83" s="99">
        <f>+E83*F83*BE!$F$5</f>
        <v>2666.3685415207087</v>
      </c>
      <c r="H83" s="100">
        <f>+E83*F83*PE!$F$5</f>
        <v>454.85496999999992</v>
      </c>
      <c r="I83" s="99">
        <f>+E83*F83*LE!$F$3</f>
        <v>133.31842707603556</v>
      </c>
      <c r="J83" s="99">
        <f t="shared" si="5"/>
        <v>2078.1951444446731</v>
      </c>
    </row>
    <row r="84" spans="2:10">
      <c r="B84" s="79">
        <f t="shared" si="7"/>
        <v>46801</v>
      </c>
      <c r="C84" s="79">
        <f t="shared" si="6"/>
        <v>46829</v>
      </c>
      <c r="D84" s="116">
        <v>100</v>
      </c>
      <c r="E84" s="101">
        <f t="shared" si="4"/>
        <v>7101</v>
      </c>
      <c r="F84" s="117">
        <v>1</v>
      </c>
      <c r="G84" s="99">
        <f>+E84*F84*BE!$F$5</f>
        <v>2704.4540798940943</v>
      </c>
      <c r="H84" s="100">
        <f>+E84*F84*PE!$F$5</f>
        <v>461.35196999999988</v>
      </c>
      <c r="I84" s="99">
        <f>+E84*F84*LE!$F$3</f>
        <v>135.22270399470483</v>
      </c>
      <c r="J84" s="99">
        <f t="shared" si="5"/>
        <v>2107.8794058993899</v>
      </c>
    </row>
    <row r="85" spans="2:10">
      <c r="B85" s="79">
        <f t="shared" si="7"/>
        <v>46830</v>
      </c>
      <c r="C85" s="79">
        <f t="shared" si="6"/>
        <v>46860</v>
      </c>
      <c r="D85" s="116">
        <v>100</v>
      </c>
      <c r="E85" s="101">
        <f t="shared" si="4"/>
        <v>7201</v>
      </c>
      <c r="F85" s="117">
        <v>1</v>
      </c>
      <c r="G85" s="99">
        <f>+E85*F85*BE!$F$5</f>
        <v>2742.5396182674795</v>
      </c>
      <c r="H85" s="100">
        <f>+E85*F85*PE!$F$5</f>
        <v>467.84896999999989</v>
      </c>
      <c r="I85" s="99">
        <f>+E85*F85*LE!$F$3</f>
        <v>137.1269809133741</v>
      </c>
      <c r="J85" s="99">
        <f t="shared" si="5"/>
        <v>2137.5636673541053</v>
      </c>
    </row>
    <row r="86" spans="2:10">
      <c r="B86" s="79">
        <f t="shared" si="7"/>
        <v>46861</v>
      </c>
      <c r="C86" s="79">
        <f t="shared" si="6"/>
        <v>46890</v>
      </c>
      <c r="D86" s="116">
        <v>100</v>
      </c>
      <c r="E86" s="101">
        <f t="shared" si="4"/>
        <v>7301</v>
      </c>
      <c r="F86" s="117">
        <v>1</v>
      </c>
      <c r="G86" s="99">
        <f>+E86*F86*BE!$F$5</f>
        <v>2780.625156640865</v>
      </c>
      <c r="H86" s="100">
        <f>+E86*F86*PE!$F$5</f>
        <v>474.34596999999991</v>
      </c>
      <c r="I86" s="99">
        <f>+E86*F86*LE!$F$3</f>
        <v>139.03125783204339</v>
      </c>
      <c r="J86" s="99">
        <f t="shared" si="5"/>
        <v>2167.2479288088216</v>
      </c>
    </row>
    <row r="87" spans="2:10">
      <c r="B87" s="79">
        <f t="shared" si="7"/>
        <v>46891</v>
      </c>
      <c r="C87" s="79">
        <f t="shared" si="6"/>
        <v>46921</v>
      </c>
      <c r="D87" s="116">
        <v>100</v>
      </c>
      <c r="E87" s="101">
        <f t="shared" si="4"/>
        <v>7401</v>
      </c>
      <c r="F87" s="117">
        <v>1</v>
      </c>
      <c r="G87" s="99">
        <f>+E87*F87*BE!$F$5</f>
        <v>2818.7106950142502</v>
      </c>
      <c r="H87" s="100">
        <f>+E87*F87*PE!$F$5</f>
        <v>480.84296999999992</v>
      </c>
      <c r="I87" s="99">
        <f>+E87*F87*LE!$F$3</f>
        <v>140.93553475071266</v>
      </c>
      <c r="J87" s="99">
        <f t="shared" si="5"/>
        <v>2196.9321902635374</v>
      </c>
    </row>
    <row r="88" spans="2:10">
      <c r="B88" s="79">
        <f t="shared" si="7"/>
        <v>46922</v>
      </c>
      <c r="C88" s="79">
        <f t="shared" si="6"/>
        <v>46951</v>
      </c>
      <c r="D88" s="116">
        <v>100</v>
      </c>
      <c r="E88" s="101">
        <f t="shared" si="4"/>
        <v>7501</v>
      </c>
      <c r="F88" s="117">
        <v>1</v>
      </c>
      <c r="G88" s="99">
        <f>+E88*F88*BE!$F$5</f>
        <v>2856.7962333876358</v>
      </c>
      <c r="H88" s="100">
        <f>+E88*F88*PE!$F$5</f>
        <v>487.33996999999988</v>
      </c>
      <c r="I88" s="99">
        <f>+E88*F88*LE!$F$3</f>
        <v>142.83981166938193</v>
      </c>
      <c r="J88" s="99">
        <f t="shared" si="5"/>
        <v>2226.6164517182538</v>
      </c>
    </row>
    <row r="89" spans="2:10">
      <c r="B89" s="79">
        <f t="shared" si="7"/>
        <v>46952</v>
      </c>
      <c r="C89" s="79">
        <f t="shared" si="6"/>
        <v>46982</v>
      </c>
      <c r="D89" s="116">
        <v>100</v>
      </c>
      <c r="E89" s="101">
        <f t="shared" si="4"/>
        <v>7601</v>
      </c>
      <c r="F89" s="117">
        <v>1</v>
      </c>
      <c r="G89" s="99">
        <f>+E89*F89*BE!$F$5</f>
        <v>2894.8817717610209</v>
      </c>
      <c r="H89" s="100">
        <f>+E89*F89*PE!$F$5</f>
        <v>493.83696999999989</v>
      </c>
      <c r="I89" s="99">
        <f>+E89*F89*LE!$F$3</f>
        <v>144.7440885880512</v>
      </c>
      <c r="J89" s="99">
        <f t="shared" si="5"/>
        <v>2256.3007131729701</v>
      </c>
    </row>
    <row r="90" spans="2:10">
      <c r="B90" s="79">
        <f t="shared" si="7"/>
        <v>46983</v>
      </c>
      <c r="C90" s="79">
        <f t="shared" si="6"/>
        <v>47013</v>
      </c>
      <c r="D90" s="116">
        <v>100</v>
      </c>
      <c r="E90" s="101">
        <f t="shared" si="4"/>
        <v>7701</v>
      </c>
      <c r="F90" s="117">
        <v>1</v>
      </c>
      <c r="G90" s="99">
        <f>+E90*F90*BE!$F$5</f>
        <v>2932.9673101344065</v>
      </c>
      <c r="H90" s="100">
        <f>+E90*F90*PE!$F$5</f>
        <v>500.33396999999991</v>
      </c>
      <c r="I90" s="99">
        <f>+E90*F90*LE!$F$3</f>
        <v>146.64836550672047</v>
      </c>
      <c r="J90" s="99">
        <f t="shared" si="5"/>
        <v>2285.9849746276859</v>
      </c>
    </row>
    <row r="91" spans="2:10">
      <c r="B91" s="79">
        <f t="shared" si="7"/>
        <v>47014</v>
      </c>
      <c r="C91" s="79">
        <f t="shared" si="6"/>
        <v>47043</v>
      </c>
      <c r="D91" s="116">
        <v>100</v>
      </c>
      <c r="E91" s="101">
        <f t="shared" si="4"/>
        <v>7801</v>
      </c>
      <c r="F91" s="117">
        <v>1</v>
      </c>
      <c r="G91" s="99">
        <f>+E91*F91*BE!$F$5</f>
        <v>2971.0528485077916</v>
      </c>
      <c r="H91" s="100">
        <f>+E91*F91*PE!$F$5</f>
        <v>506.83096999999987</v>
      </c>
      <c r="I91" s="99">
        <f>+E91*F91*LE!$F$3</f>
        <v>148.55264242538973</v>
      </c>
      <c r="J91" s="99">
        <f t="shared" si="5"/>
        <v>2315.6692360824018</v>
      </c>
    </row>
    <row r="92" spans="2:10">
      <c r="B92" s="79">
        <f t="shared" si="7"/>
        <v>47044</v>
      </c>
      <c r="C92" s="79">
        <f t="shared" si="6"/>
        <v>47074</v>
      </c>
      <c r="D92" s="116">
        <v>100</v>
      </c>
      <c r="E92" s="101">
        <f t="shared" si="4"/>
        <v>7901</v>
      </c>
      <c r="F92" s="117">
        <v>1</v>
      </c>
      <c r="G92" s="99">
        <f>+E92*F92*BE!$F$5</f>
        <v>3009.1383868811772</v>
      </c>
      <c r="H92" s="100">
        <f>+E92*F92*PE!$F$5</f>
        <v>513.32796999999994</v>
      </c>
      <c r="I92" s="99">
        <f>+E92*F92*LE!$F$3</f>
        <v>150.456919344059</v>
      </c>
      <c r="J92" s="99">
        <f t="shared" si="5"/>
        <v>2345.3534975371185</v>
      </c>
    </row>
    <row r="93" spans="2:10">
      <c r="B93" s="79">
        <f t="shared" si="7"/>
        <v>47075</v>
      </c>
      <c r="C93" s="79">
        <f t="shared" si="6"/>
        <v>47104</v>
      </c>
      <c r="D93" s="116">
        <v>100</v>
      </c>
      <c r="E93" s="101">
        <f t="shared" si="4"/>
        <v>8001</v>
      </c>
      <c r="F93" s="117">
        <v>1</v>
      </c>
      <c r="G93" s="99">
        <f>+E93*F93*BE!$F$5</f>
        <v>3047.2239252545623</v>
      </c>
      <c r="H93" s="100">
        <f>+E93*F93*PE!$F$5</f>
        <v>519.82496999999989</v>
      </c>
      <c r="I93" s="99">
        <f>+E93*F93*LE!$F$3</f>
        <v>152.36119626272827</v>
      </c>
      <c r="J93" s="99">
        <f t="shared" si="5"/>
        <v>2375.0377589918344</v>
      </c>
    </row>
    <row r="94" spans="2:10">
      <c r="B94" s="79">
        <f t="shared" si="7"/>
        <v>47105</v>
      </c>
      <c r="C94" s="79">
        <f t="shared" si="6"/>
        <v>47135</v>
      </c>
      <c r="D94" s="116">
        <v>100</v>
      </c>
      <c r="E94" s="101">
        <f t="shared" si="4"/>
        <v>8101</v>
      </c>
      <c r="F94" s="117">
        <v>1</v>
      </c>
      <c r="G94" s="99">
        <f>+E94*F94*BE!$F$5</f>
        <v>3085.3094636279479</v>
      </c>
      <c r="H94" s="100">
        <f>+E94*F94*PE!$F$5</f>
        <v>526.32196999999985</v>
      </c>
      <c r="I94" s="99">
        <f>+E94*F94*LE!$F$3</f>
        <v>154.26547318139754</v>
      </c>
      <c r="J94" s="99">
        <f t="shared" si="5"/>
        <v>2404.7220204465502</v>
      </c>
    </row>
    <row r="95" spans="2:10">
      <c r="B95" s="79">
        <f t="shared" si="7"/>
        <v>47136</v>
      </c>
      <c r="C95" s="79">
        <f t="shared" si="6"/>
        <v>47166</v>
      </c>
      <c r="D95" s="116">
        <v>100</v>
      </c>
      <c r="E95" s="101">
        <f t="shared" si="4"/>
        <v>8201</v>
      </c>
      <c r="F95" s="117">
        <v>1</v>
      </c>
      <c r="G95" s="99">
        <f>+E95*F95*BE!$F$5</f>
        <v>3123.3950020013331</v>
      </c>
      <c r="H95" s="100">
        <f>+E95*F95*PE!$F$5</f>
        <v>532.81896999999992</v>
      </c>
      <c r="I95" s="99">
        <f>+E95*F95*LE!$F$3</f>
        <v>156.16975010006681</v>
      </c>
      <c r="J95" s="99">
        <f t="shared" si="5"/>
        <v>2434.4062819012665</v>
      </c>
    </row>
    <row r="96" spans="2:10">
      <c r="B96" s="79">
        <f t="shared" si="7"/>
        <v>47167</v>
      </c>
      <c r="C96" s="79">
        <f t="shared" si="6"/>
        <v>47194</v>
      </c>
      <c r="D96" s="116">
        <v>100</v>
      </c>
      <c r="E96" s="101">
        <f t="shared" si="4"/>
        <v>8301</v>
      </c>
      <c r="F96" s="117">
        <v>1</v>
      </c>
      <c r="G96" s="99">
        <f>+E96*F96*BE!$F$5</f>
        <v>3161.4805403747187</v>
      </c>
      <c r="H96" s="100">
        <f>+E96*F96*PE!$F$5</f>
        <v>539.31596999999988</v>
      </c>
      <c r="I96" s="99">
        <f>+E96*F96*LE!$F$3</f>
        <v>158.07402701873607</v>
      </c>
      <c r="J96" s="99">
        <f t="shared" si="5"/>
        <v>2464.0905433559828</v>
      </c>
    </row>
    <row r="97" spans="2:10">
      <c r="B97" s="79">
        <f t="shared" si="7"/>
        <v>47195</v>
      </c>
      <c r="C97" s="79">
        <f t="shared" si="6"/>
        <v>47225</v>
      </c>
      <c r="D97" s="116">
        <v>100</v>
      </c>
      <c r="E97" s="101">
        <f t="shared" si="4"/>
        <v>8401</v>
      </c>
      <c r="F97" s="117">
        <v>1</v>
      </c>
      <c r="G97" s="99">
        <f>+E97*F97*BE!$F$5</f>
        <v>3199.5660787481038</v>
      </c>
      <c r="H97" s="100">
        <f>+E97*F97*PE!$F$5</f>
        <v>545.81296999999984</v>
      </c>
      <c r="I97" s="99">
        <f>+E97*F97*LE!$F$3</f>
        <v>159.97830393740534</v>
      </c>
      <c r="J97" s="99">
        <f t="shared" si="5"/>
        <v>2493.7748048106987</v>
      </c>
    </row>
    <row r="98" spans="2:10">
      <c r="B98" s="79">
        <f t="shared" si="7"/>
        <v>47226</v>
      </c>
      <c r="C98" s="79">
        <f t="shared" si="6"/>
        <v>47255</v>
      </c>
      <c r="D98" s="116">
        <v>100</v>
      </c>
      <c r="E98" s="101">
        <f t="shared" si="4"/>
        <v>8501</v>
      </c>
      <c r="F98" s="117">
        <v>1</v>
      </c>
      <c r="G98" s="99">
        <f>+E98*F98*BE!$F$5</f>
        <v>3237.6516171214894</v>
      </c>
      <c r="H98" s="100">
        <f>+E98*F98*PE!$F$5</f>
        <v>552.30996999999991</v>
      </c>
      <c r="I98" s="99">
        <f>+E98*F98*LE!$F$3</f>
        <v>161.88258085607461</v>
      </c>
      <c r="J98" s="99">
        <f t="shared" si="5"/>
        <v>2523.459066265415</v>
      </c>
    </row>
    <row r="99" spans="2:10">
      <c r="B99" s="79">
        <f t="shared" si="7"/>
        <v>47256</v>
      </c>
      <c r="C99" s="79">
        <f t="shared" si="6"/>
        <v>47286</v>
      </c>
      <c r="D99" s="116">
        <v>100</v>
      </c>
      <c r="E99" s="101">
        <f t="shared" si="4"/>
        <v>8601</v>
      </c>
      <c r="F99" s="117">
        <v>1</v>
      </c>
      <c r="G99" s="99">
        <f>+E99*F99*BE!$F$5</f>
        <v>3275.7371554948745</v>
      </c>
      <c r="H99" s="100">
        <f>+E99*F99*PE!$F$5</f>
        <v>558.80696999999986</v>
      </c>
      <c r="I99" s="99">
        <f>+E99*F99*LE!$F$3</f>
        <v>163.78685777474388</v>
      </c>
      <c r="J99" s="99">
        <f t="shared" si="5"/>
        <v>2553.1433277201304</v>
      </c>
    </row>
    <row r="100" spans="2:10">
      <c r="B100" s="79">
        <f t="shared" si="7"/>
        <v>47287</v>
      </c>
      <c r="C100" s="79">
        <f t="shared" si="6"/>
        <v>47316</v>
      </c>
      <c r="D100" s="116">
        <v>100</v>
      </c>
      <c r="E100" s="101">
        <f t="shared" si="4"/>
        <v>8701</v>
      </c>
      <c r="F100" s="117">
        <v>1</v>
      </c>
      <c r="G100" s="99">
        <f>+E100*F100*BE!$F$5</f>
        <v>3313.8226938682601</v>
      </c>
      <c r="H100" s="100">
        <f>+E100*F100*PE!$F$5</f>
        <v>565.30396999999994</v>
      </c>
      <c r="I100" s="99">
        <f>+E100*F100*LE!$F$3</f>
        <v>165.69113469341315</v>
      </c>
      <c r="J100" s="99">
        <f t="shared" si="5"/>
        <v>2582.8275891748472</v>
      </c>
    </row>
    <row r="101" spans="2:10">
      <c r="B101" s="79">
        <f t="shared" si="7"/>
        <v>47317</v>
      </c>
      <c r="C101" s="79">
        <f t="shared" si="6"/>
        <v>47347</v>
      </c>
      <c r="D101" s="116">
        <v>100</v>
      </c>
      <c r="E101" s="101">
        <f t="shared" si="4"/>
        <v>8801</v>
      </c>
      <c r="F101" s="117">
        <v>1</v>
      </c>
      <c r="G101" s="99">
        <f>+E101*F101*BE!$F$5</f>
        <v>3351.9082322416452</v>
      </c>
      <c r="H101" s="100">
        <f>+E101*F101*PE!$F$5</f>
        <v>571.80096999999989</v>
      </c>
      <c r="I101" s="99">
        <f>+E101*F101*LE!$F$3</f>
        <v>167.59541161208242</v>
      </c>
      <c r="J101" s="99">
        <f t="shared" si="5"/>
        <v>2612.511850629563</v>
      </c>
    </row>
    <row r="102" spans="2:10">
      <c r="B102" s="79">
        <f t="shared" si="7"/>
        <v>47348</v>
      </c>
      <c r="C102" s="79">
        <f t="shared" si="6"/>
        <v>47378</v>
      </c>
      <c r="D102" s="116">
        <v>100</v>
      </c>
      <c r="E102" s="101">
        <f t="shared" si="4"/>
        <v>8901</v>
      </c>
      <c r="F102" s="117">
        <v>1</v>
      </c>
      <c r="G102" s="99">
        <f>+E102*F102*BE!$F$5</f>
        <v>3389.9937706150308</v>
      </c>
      <c r="H102" s="100">
        <f>+E102*F102*PE!$F$5</f>
        <v>578.29796999999985</v>
      </c>
      <c r="I102" s="99">
        <f>+E102*F102*LE!$F$3</f>
        <v>169.49968853075168</v>
      </c>
      <c r="J102" s="99">
        <f t="shared" si="5"/>
        <v>2642.1961120842789</v>
      </c>
    </row>
    <row r="103" spans="2:10">
      <c r="B103" s="79">
        <f t="shared" si="7"/>
        <v>47379</v>
      </c>
      <c r="C103" s="79">
        <f t="shared" si="6"/>
        <v>47408</v>
      </c>
      <c r="D103" s="116">
        <v>100</v>
      </c>
      <c r="E103" s="101">
        <f t="shared" si="4"/>
        <v>9001</v>
      </c>
      <c r="F103" s="117">
        <v>1</v>
      </c>
      <c r="G103" s="99">
        <f>+E103*F103*BE!$F$5</f>
        <v>3428.079308988416</v>
      </c>
      <c r="H103" s="100">
        <f>+E103*F103*PE!$F$5</f>
        <v>584.79496999999992</v>
      </c>
      <c r="I103" s="99">
        <f>+E103*F103*LE!$F$3</f>
        <v>171.40396544942098</v>
      </c>
      <c r="J103" s="99">
        <f t="shared" si="5"/>
        <v>2671.8803735389952</v>
      </c>
    </row>
    <row r="104" spans="2:10">
      <c r="B104" s="79">
        <f t="shared" si="7"/>
        <v>47409</v>
      </c>
      <c r="C104" s="79">
        <f t="shared" si="6"/>
        <v>47439</v>
      </c>
      <c r="D104" s="116">
        <v>100</v>
      </c>
      <c r="E104" s="101">
        <f t="shared" si="4"/>
        <v>9101</v>
      </c>
      <c r="F104" s="117">
        <v>1</v>
      </c>
      <c r="G104" s="99">
        <f>+E104*F104*BE!$F$5</f>
        <v>3466.1648473618015</v>
      </c>
      <c r="H104" s="100">
        <f>+E104*F104*PE!$F$5</f>
        <v>591.29196999999988</v>
      </c>
      <c r="I104" s="99">
        <f>+E104*F104*LE!$F$3</f>
        <v>173.30824236809025</v>
      </c>
      <c r="J104" s="99">
        <f t="shared" si="5"/>
        <v>2701.5646349937115</v>
      </c>
    </row>
    <row r="105" spans="2:10">
      <c r="B105" s="79">
        <f t="shared" si="7"/>
        <v>47440</v>
      </c>
      <c r="C105" s="79">
        <f t="shared" si="6"/>
        <v>47469</v>
      </c>
      <c r="D105" s="116">
        <v>100</v>
      </c>
      <c r="E105" s="101">
        <f t="shared" si="4"/>
        <v>9201</v>
      </c>
      <c r="F105" s="117">
        <v>1</v>
      </c>
      <c r="G105" s="99">
        <f>+E105*F105*BE!$F$5</f>
        <v>3504.2503857351867</v>
      </c>
      <c r="H105" s="100">
        <f>+E105*F105*PE!$F$5</f>
        <v>597.78896999999984</v>
      </c>
      <c r="I105" s="99">
        <f>+E105*F105*LE!$F$3</f>
        <v>175.21251928675952</v>
      </c>
      <c r="J105" s="99">
        <f t="shared" si="5"/>
        <v>2731.2488964484273</v>
      </c>
    </row>
    <row r="106" spans="2:10">
      <c r="B106" s="79">
        <f t="shared" si="7"/>
        <v>47470</v>
      </c>
      <c r="C106" s="79">
        <f t="shared" si="6"/>
        <v>47500</v>
      </c>
      <c r="D106" s="116">
        <v>100</v>
      </c>
      <c r="E106" s="101">
        <f t="shared" si="4"/>
        <v>9301</v>
      </c>
      <c r="F106" s="117">
        <v>1</v>
      </c>
      <c r="G106" s="99">
        <f>+E106*F106*BE!$F$5</f>
        <v>3542.3359241085723</v>
      </c>
      <c r="H106" s="100">
        <f>+E106*F106*PE!$F$5</f>
        <v>604.28596999999991</v>
      </c>
      <c r="I106" s="99">
        <f>+E106*F106*LE!$F$3</f>
        <v>177.11679620542878</v>
      </c>
      <c r="J106" s="99">
        <f t="shared" si="5"/>
        <v>2760.9331579031436</v>
      </c>
    </row>
    <row r="107" spans="2:10">
      <c r="B107" s="79">
        <f t="shared" si="7"/>
        <v>47501</v>
      </c>
      <c r="C107" s="79">
        <f t="shared" si="6"/>
        <v>47531</v>
      </c>
      <c r="D107" s="116">
        <v>100</v>
      </c>
      <c r="E107" s="101">
        <f t="shared" si="4"/>
        <v>9401</v>
      </c>
      <c r="F107" s="117">
        <v>1</v>
      </c>
      <c r="G107" s="99">
        <f>+E107*F107*BE!$F$5</f>
        <v>3580.4214624819574</v>
      </c>
      <c r="H107" s="100">
        <f>+E107*F107*PE!$F$5</f>
        <v>610.78296999999986</v>
      </c>
      <c r="I107" s="99">
        <f>+E107*F107*LE!$F$3</f>
        <v>179.02107312409805</v>
      </c>
      <c r="J107" s="99">
        <f t="shared" si="5"/>
        <v>2790.6174193578595</v>
      </c>
    </row>
    <row r="108" spans="2:10">
      <c r="B108" s="79">
        <f t="shared" si="7"/>
        <v>47532</v>
      </c>
      <c r="C108" s="79">
        <f t="shared" si="6"/>
        <v>47559</v>
      </c>
      <c r="D108" s="116">
        <v>100</v>
      </c>
      <c r="E108" s="101">
        <f t="shared" si="4"/>
        <v>9501</v>
      </c>
      <c r="F108" s="117">
        <v>1</v>
      </c>
      <c r="G108" s="99">
        <f>+E108*F108*BE!$F$5</f>
        <v>3618.507000855343</v>
      </c>
      <c r="H108" s="100">
        <f>+E108*F108*PE!$F$5</f>
        <v>617.27996999999982</v>
      </c>
      <c r="I108" s="99">
        <f>+E108*F108*LE!$F$3</f>
        <v>180.92535004276732</v>
      </c>
      <c r="J108" s="99">
        <f t="shared" si="5"/>
        <v>2820.3016808125763</v>
      </c>
    </row>
    <row r="109" spans="2:10">
      <c r="B109" s="79">
        <f t="shared" si="7"/>
        <v>47560</v>
      </c>
      <c r="C109" s="79">
        <f t="shared" si="6"/>
        <v>47590</v>
      </c>
      <c r="D109" s="116">
        <v>100</v>
      </c>
      <c r="E109" s="101">
        <f t="shared" si="4"/>
        <v>9601</v>
      </c>
      <c r="F109" s="117">
        <v>1</v>
      </c>
      <c r="G109" s="99">
        <f>+E109*F109*BE!$F$5</f>
        <v>3656.5925392287281</v>
      </c>
      <c r="H109" s="100">
        <f>+E109*F109*PE!$F$5</f>
        <v>623.77696999999989</v>
      </c>
      <c r="I109" s="99">
        <f>+E109*F109*LE!$F$3</f>
        <v>182.82962696143659</v>
      </c>
      <c r="J109" s="99">
        <f t="shared" si="5"/>
        <v>2849.9859422672916</v>
      </c>
    </row>
    <row r="110" spans="2:10">
      <c r="B110" s="79">
        <f t="shared" si="7"/>
        <v>47591</v>
      </c>
      <c r="C110" s="79">
        <f t="shared" si="6"/>
        <v>47620</v>
      </c>
      <c r="D110" s="116">
        <v>100</v>
      </c>
      <c r="E110" s="101">
        <f t="shared" si="4"/>
        <v>9701</v>
      </c>
      <c r="F110" s="117">
        <v>1</v>
      </c>
      <c r="G110" s="99">
        <f>+E110*F110*BE!$F$5</f>
        <v>3694.6780776021137</v>
      </c>
      <c r="H110" s="100">
        <f>+E110*F110*PE!$F$5</f>
        <v>630.27396999999985</v>
      </c>
      <c r="I110" s="99">
        <f>+E110*F110*LE!$F$3</f>
        <v>184.73390388010586</v>
      </c>
      <c r="J110" s="99">
        <f t="shared" si="5"/>
        <v>2879.670203722008</v>
      </c>
    </row>
    <row r="111" spans="2:10">
      <c r="B111" s="79">
        <f t="shared" si="7"/>
        <v>47621</v>
      </c>
    </row>
    <row r="112" spans="2:10">
      <c r="B112" s="102"/>
      <c r="C112" s="103" t="s">
        <v>144</v>
      </c>
      <c r="D112" s="104">
        <f>SUM(D9:D110)</f>
        <v>9801</v>
      </c>
      <c r="E112" s="104"/>
      <c r="F112" s="103"/>
      <c r="G112" s="105"/>
      <c r="H112" s="105"/>
      <c r="I112" s="105"/>
      <c r="J112" s="105"/>
    </row>
  </sheetData>
  <mergeCells count="1">
    <mergeCell ref="B7:D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367E7F215A3A48BD10E37FB9526B69" ma:contentTypeVersion="17" ma:contentTypeDescription="Create a new document." ma:contentTypeScope="" ma:versionID="0842e2bcce5c92d57ad69b39c1e02d91">
  <xsd:schema xmlns:xsd="http://www.w3.org/2001/XMLSchema" xmlns:xs="http://www.w3.org/2001/XMLSchema" xmlns:p="http://schemas.microsoft.com/office/2006/metadata/properties" xmlns:ns2="40ff25b3-493e-4851-82b7-4e504def2eba" xmlns:ns3="87d2df8b-a2fd-4f62-8ef6-4a22c6824c33" xmlns:ns4="94d6f73f-29f7-4e77-9e68-180d20b81668" targetNamespace="http://schemas.microsoft.com/office/2006/metadata/properties" ma:root="true" ma:fieldsID="f323e3c59598075027be193c22f69fd5" ns2:_="" ns3:_="" ns4:_="">
    <xsd:import namespace="40ff25b3-493e-4851-82b7-4e504def2eba"/>
    <xsd:import namespace="87d2df8b-a2fd-4f62-8ef6-4a22c6824c33"/>
    <xsd:import namespace="94d6f73f-29f7-4e77-9e68-180d20b81668"/>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DateTaken"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f25b3-493e-4851-82b7-4e504def2eb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6e76a904-278e-435e-b259-2f7e11d2de08}" ma:internalName="TaxCatchAll" ma:showField="CatchAllData" ma:web="40ff25b3-493e-4851-82b7-4e504def2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d2df8b-a2fd-4f62-8ef6-4a22c6824c33"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4d6f73f-29f7-4e77-9e68-180d20b8166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862acf3-5257-4c8e-a7f6-c800878fb93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ff25b3-493e-4851-82b7-4e504def2eba">
      <UserInfo>
        <DisplayName/>
        <AccountId xsi:nil="true"/>
        <AccountType/>
      </UserInfo>
    </SharedWithUsers>
    <TaxCatchAll xmlns="40ff25b3-493e-4851-82b7-4e504def2eba" xsi:nil="true"/>
    <lcf76f155ced4ddcb4097134ff3c332f xmlns="94d6f73f-29f7-4e77-9e68-180d20b816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65F65-A7AF-4431-8FB6-619C2A806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f25b3-493e-4851-82b7-4e504def2eba"/>
    <ds:schemaRef ds:uri="87d2df8b-a2fd-4f62-8ef6-4a22c6824c33"/>
    <ds:schemaRef ds:uri="94d6f73f-29f7-4e77-9e68-180d20b81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D77CE-820D-446C-A1CD-17E16CC84AC2}">
  <ds:schemaRefs>
    <ds:schemaRef ds:uri="http://schemas.microsoft.com/sharepoint/v3/contenttype/forms"/>
  </ds:schemaRefs>
</ds:datastoreItem>
</file>

<file path=customXml/itemProps3.xml><?xml version="1.0" encoding="utf-8"?>
<ds:datastoreItem xmlns:ds="http://schemas.openxmlformats.org/officeDocument/2006/customXml" ds:itemID="{60A704C9-4C5C-48DA-B85A-17C74972DAC8}">
  <ds:schemaRefs>
    <ds:schemaRef ds:uri="40ff25b3-493e-4851-82b7-4e504def2eba"/>
    <ds:schemaRef ds:uri="http://purl.org/dc/terms/"/>
    <ds:schemaRef ds:uri="http://schemas.openxmlformats.org/package/2006/metadata/core-properties"/>
    <ds:schemaRef ds:uri="030caf0d-19d7-4c1c-8941-0d7d4058697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94d6f73f-29f7-4e77-9e68-180d20b8166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vt:lpstr>
      <vt:lpstr>BE</vt:lpstr>
      <vt:lpstr>PE</vt:lpstr>
      <vt:lpstr>LE</vt:lpstr>
      <vt:lpstr>ER</vt:lpstr>
      <vt:lpstr>BE!_GoBack</vt:lpstr>
      <vt:lpstr>ER!_Ref61531034</vt:lpstr>
    </vt:vector>
  </TitlesOfParts>
  <Manager/>
  <Company>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Hoang, Ha</dc:creator>
  <cp:keywords/>
  <dc:description/>
  <cp:lastModifiedBy>Matthew Leach</cp:lastModifiedBy>
  <cp:revision/>
  <dcterms:created xsi:type="dcterms:W3CDTF">2021-07-16T04:44:19Z</dcterms:created>
  <dcterms:modified xsi:type="dcterms:W3CDTF">2024-11-27T14:20:18Z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0x0101000B367E7F215A3A48BD10E37FB9526B69</vt:lpwstr>
  </property>
  <property fmtid="{D5CDD505-2E9C-101B-9397-08002B2CF9AE}" pid="3" name="_dlc_DocIdItemGuid">
    <vt:lpwstr>fe1866af-43c0-44e0-8141-08efbb5411e6</vt:lpwstr>
  </property>
  <property fmtid="{D5CDD505-2E9C-101B-9397-08002B2CF9AE}" pid="4" name="Order">
    <vt:r8>57800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